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FORMULA RATES SPP\Annual Update Transmission Rates AEP West SPP OpCos and Transcos\True Ups\2020 Annual Update\Transco_OKTCo_SWTCo\Filed Documents 7-1-20\"/>
    </mc:Choice>
  </mc:AlternateContent>
  <bookViews>
    <workbookView xWindow="390" yWindow="6510" windowWidth="18810" windowHeight="4380" tabRatio="834"/>
  </bookViews>
  <sheets>
    <sheet name="OKT.Sch.11.Rates" sheetId="17" r:id="rId1"/>
    <sheet name="OKT.WS.F.BPU.ATRR.Projected" sheetId="1" r:id="rId2"/>
    <sheet name="OKT.WS.G.BPU.ATRR.True-up" sheetId="2" r:id="rId3"/>
    <sheet name="OKT.001" sheetId="3" r:id="rId4"/>
    <sheet name="OKT.002" sheetId="4" r:id="rId5"/>
    <sheet name="OKT.003" sheetId="18" r:id="rId6"/>
    <sheet name="OKT.004" sheetId="19" r:id="rId7"/>
    <sheet name="OKT.005" sheetId="20" r:id="rId8"/>
    <sheet name="OKT.006" sheetId="21" r:id="rId9"/>
    <sheet name="OKT.007" sheetId="22" r:id="rId10"/>
    <sheet name="OKT.008" sheetId="23" r:id="rId11"/>
    <sheet name="OKT.009" sheetId="25" r:id="rId12"/>
    <sheet name="OKT.010" sheetId="24" r:id="rId13"/>
    <sheet name="OKT.011" sheetId="26" r:id="rId14"/>
    <sheet name="OKT.012" sheetId="27" r:id="rId15"/>
    <sheet name="OKT.013" sheetId="28" r:id="rId16"/>
    <sheet name="OKT.014" sheetId="29" r:id="rId17"/>
    <sheet name="OKT.015" sheetId="31" r:id="rId18"/>
    <sheet name="OKT.016" sheetId="34" r:id="rId19"/>
    <sheet name="OKT.017" sheetId="35" r:id="rId20"/>
    <sheet name="OKT.018" sheetId="37" r:id="rId21"/>
    <sheet name="OKT.019" sheetId="38" r:id="rId22"/>
    <sheet name="OKT.xyz - blank" sheetId="13" r:id="rId23"/>
  </sheets>
  <externalReferences>
    <externalReference r:id="rId24"/>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3">OKT.001!$A$1:$P$166</definedName>
    <definedName name="_xlnm.Print_Area" localSheetId="4">OKT.002!$A$1:$P$166</definedName>
    <definedName name="_xlnm.Print_Area" localSheetId="5">OKT.003!$A$1:$P$166</definedName>
    <definedName name="_xlnm.Print_Area" localSheetId="6">OKT.004!$A$1:$P$166</definedName>
    <definedName name="_xlnm.Print_Area" localSheetId="7">OKT.005!$A$1:$P$166</definedName>
    <definedName name="_xlnm.Print_Area" localSheetId="8">OKT.006!$A$1:$P$166</definedName>
    <definedName name="_xlnm.Print_Area" localSheetId="9">OKT.007!$A$1:$P$166</definedName>
    <definedName name="_xlnm.Print_Area" localSheetId="10">OKT.008!$A$1:$P$166</definedName>
    <definedName name="_xlnm.Print_Area" localSheetId="11">OKT.009!$A$1:$P$166</definedName>
    <definedName name="_xlnm.Print_Area" localSheetId="12">OKT.010!$A$1:$P$166</definedName>
    <definedName name="_xlnm.Print_Area" localSheetId="13">OKT.011!$A$1:$P$166</definedName>
    <definedName name="_xlnm.Print_Area" localSheetId="14">OKT.012!$A$1:$P$166</definedName>
    <definedName name="_xlnm.Print_Area" localSheetId="15">OKT.013!$A$1:$P$166</definedName>
    <definedName name="_xlnm.Print_Area" localSheetId="16">OKT.014!$A$1:$P$166</definedName>
    <definedName name="_xlnm.Print_Area" localSheetId="17">OKT.015!$A$1:$P$166</definedName>
    <definedName name="_xlnm.Print_Area" localSheetId="18">OKT.016!$A$1:$P$166</definedName>
    <definedName name="_xlnm.Print_Area" localSheetId="19">OKT.017!$A$1:$P$166</definedName>
    <definedName name="_xlnm.Print_Area" localSheetId="0">OKT.Sch.11.Rates!$A$1:$T$40</definedName>
    <definedName name="_xlnm.Print_Area" localSheetId="1">OKT.WS.F.BPU.ATRR.Projected!$A$1:$O$89</definedName>
    <definedName name="_xlnm.Print_Area" localSheetId="2">'OKT.WS.G.BPU.ATRR.True-up'!$A$1:$P$96</definedName>
    <definedName name="_xlnm.Print_Area" localSheetId="22">'OKT.xyz - blank'!$A$1:$P$166</definedName>
    <definedName name="_xlnm.Print_Titles" localSheetId="9">OKT.007!#REF!</definedName>
    <definedName name="_xlnm.Print_Titles" localSheetId="10">OKT.008!#REF!</definedName>
    <definedName name="_xlnm.Print_Titles" localSheetId="11">OKT.009!#REF!</definedName>
    <definedName name="_xlnm.Print_Titles" localSheetId="12">OKT.010!#REF!</definedName>
    <definedName name="_xlnm.Print_Titles" localSheetId="13">OKT.011!#REF!</definedName>
    <definedName name="_xlnm.Print_Titles" localSheetId="14">OKT.012!#REF!</definedName>
    <definedName name="_xlnm.Print_Titles" localSheetId="15">OKT.013!#REF!</definedName>
    <definedName name="_xlnm.Print_Titles" localSheetId="16">OKT.014!#REF!</definedName>
    <definedName name="_xlnm.Print_Titles" localSheetId="18">OKT.016!#REF!</definedName>
    <definedName name="_xlnm.Print_Titles" localSheetId="19">OKT.017!#REF!</definedName>
    <definedName name="_xlnm.Print_Titles" localSheetId="1">OKT.WS.F.BPU.ATRR.Projected!$1:$5</definedName>
    <definedName name="_xlnm.Print_Titles" localSheetId="2">'OKT.WS.G.BPU.ATRR.True-up'!$1:$5</definedName>
    <definedName name="_xlnm.Print_Titles" localSheetId="22">'OKT.xyz - blank'!#REF!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ip">#REF!</definedName>
  </definedNames>
  <calcPr calcId="162913"/>
</workbook>
</file>

<file path=xl/calcChain.xml><?xml version="1.0" encoding="utf-8"?>
<calcChain xmlns="http://schemas.openxmlformats.org/spreadsheetml/2006/main">
  <c r="O101" i="37" l="1"/>
  <c r="M101" i="37"/>
  <c r="O102" i="37"/>
  <c r="M102" i="37"/>
  <c r="L19" i="37"/>
  <c r="L20" i="37"/>
  <c r="D19" i="37"/>
  <c r="L19" i="1" l="1"/>
  <c r="K26" i="3"/>
  <c r="L26" i="3" s="1"/>
  <c r="M22" i="22"/>
  <c r="N22" i="22" s="1"/>
  <c r="M22" i="23"/>
  <c r="N22" i="23" s="1"/>
  <c r="K23" i="27"/>
  <c r="L23" i="27" s="1"/>
  <c r="M23" i="27"/>
  <c r="N23" i="27" s="1"/>
  <c r="O23" i="27" s="1"/>
  <c r="N101" i="35"/>
  <c r="O101" i="35" s="1"/>
  <c r="P101" i="35" s="1"/>
  <c r="M101" i="35"/>
  <c r="L101" i="35"/>
  <c r="N101" i="34"/>
  <c r="O101" i="34" s="1"/>
  <c r="P101" i="34" s="1"/>
  <c r="M101" i="34"/>
  <c r="L101" i="34"/>
  <c r="N101" i="31"/>
  <c r="O101" i="31" s="1"/>
  <c r="P101" i="31" s="1"/>
  <c r="M101" i="31"/>
  <c r="L101" i="31"/>
  <c r="N101" i="29"/>
  <c r="O101" i="29" s="1"/>
  <c r="P101" i="29" s="1"/>
  <c r="M101" i="29"/>
  <c r="L101" i="29"/>
  <c r="N105" i="28"/>
  <c r="O105" i="28" s="1"/>
  <c r="P105" i="28" s="1"/>
  <c r="M105" i="28"/>
  <c r="L105" i="28"/>
  <c r="N105" i="27"/>
  <c r="O105" i="27" s="1"/>
  <c r="P105" i="27" s="1"/>
  <c r="M105" i="27"/>
  <c r="L105" i="27"/>
  <c r="N104" i="26"/>
  <c r="O104" i="26" s="1"/>
  <c r="P104" i="26" s="1"/>
  <c r="M104" i="26"/>
  <c r="L104" i="26"/>
  <c r="N105" i="24"/>
  <c r="O105" i="24" s="1"/>
  <c r="P105" i="24" s="1"/>
  <c r="M105" i="24"/>
  <c r="L105" i="24"/>
  <c r="N103" i="25"/>
  <c r="O103" i="25" s="1"/>
  <c r="P103" i="25" s="1"/>
  <c r="M103" i="25"/>
  <c r="L103" i="25"/>
  <c r="N104" i="23"/>
  <c r="O104" i="23" s="1"/>
  <c r="P104" i="23" s="1"/>
  <c r="M104" i="23"/>
  <c r="L104" i="23"/>
  <c r="N104" i="22"/>
  <c r="O104" i="22" s="1"/>
  <c r="P104" i="22" s="1"/>
  <c r="M104" i="22"/>
  <c r="L104" i="22"/>
  <c r="N105" i="21"/>
  <c r="O105" i="21" s="1"/>
  <c r="P105" i="21" s="1"/>
  <c r="M105" i="21"/>
  <c r="L105" i="21"/>
  <c r="N107" i="19"/>
  <c r="O107" i="19" s="1"/>
  <c r="P107" i="19" s="1"/>
  <c r="M107" i="19"/>
  <c r="L107" i="19"/>
  <c r="N107" i="18"/>
  <c r="O107" i="18" s="1"/>
  <c r="L107" i="18"/>
  <c r="M107" i="18" s="1"/>
  <c r="N108" i="4"/>
  <c r="O108" i="4" s="1"/>
  <c r="L108" i="4"/>
  <c r="M108" i="4" s="1"/>
  <c r="O108" i="3"/>
  <c r="P108" i="3" s="1"/>
  <c r="N108" i="3"/>
  <c r="L108" i="3"/>
  <c r="M108" i="3" s="1"/>
  <c r="P102" i="37" l="1"/>
  <c r="M26" i="3"/>
  <c r="N26" i="3" s="1"/>
  <c r="O26" i="3" s="1"/>
  <c r="M26" i="4"/>
  <c r="N26" i="4" s="1"/>
  <c r="M25" i="18"/>
  <c r="N25" i="18" s="1"/>
  <c r="M25" i="19"/>
  <c r="N25" i="19" s="1"/>
  <c r="M23" i="21"/>
  <c r="N23" i="21" s="1"/>
  <c r="K22" i="22"/>
  <c r="L22" i="22" s="1"/>
  <c r="O22" i="22" s="1"/>
  <c r="K22" i="23"/>
  <c r="L22" i="23" s="1"/>
  <c r="O22" i="23" s="1"/>
  <c r="M23" i="24"/>
  <c r="N23" i="24" s="1"/>
  <c r="M22" i="26"/>
  <c r="N22" i="26" s="1"/>
  <c r="K22" i="26"/>
  <c r="L22" i="26" s="1"/>
  <c r="M20" i="29"/>
  <c r="N20" i="29" s="1"/>
  <c r="K20" i="29"/>
  <c r="L20" i="29" s="1"/>
  <c r="M19" i="31"/>
  <c r="N19" i="31" s="1"/>
  <c r="K19" i="31"/>
  <c r="L19" i="31" s="1"/>
  <c r="M19" i="34"/>
  <c r="N19" i="34" s="1"/>
  <c r="M19" i="35"/>
  <c r="N19" i="35" s="1"/>
  <c r="M21" i="25"/>
  <c r="N21" i="25" s="1"/>
  <c r="P107" i="18"/>
  <c r="P108" i="4"/>
  <c r="F89" i="1"/>
  <c r="O19" i="31" l="1"/>
  <c r="O22" i="26"/>
  <c r="K26" i="4"/>
  <c r="L26" i="4" s="1"/>
  <c r="O26" i="4" s="1"/>
  <c r="K25" i="18"/>
  <c r="L25" i="18" s="1"/>
  <c r="O25" i="18" s="1"/>
  <c r="K25" i="19"/>
  <c r="L25" i="19" s="1"/>
  <c r="O25" i="19" s="1"/>
  <c r="K23" i="21"/>
  <c r="L23" i="21" s="1"/>
  <c r="O23" i="21" s="1"/>
  <c r="K23" i="24"/>
  <c r="L23" i="24" s="1"/>
  <c r="O23" i="24" s="1"/>
  <c r="O20" i="29"/>
  <c r="K19" i="34"/>
  <c r="L19" i="34" s="1"/>
  <c r="O19" i="34" s="1"/>
  <c r="K19" i="35"/>
  <c r="L19" i="35" s="1"/>
  <c r="O19" i="35" s="1"/>
  <c r="K21" i="25"/>
  <c r="L21" i="25" s="1"/>
  <c r="O21" i="25" s="1"/>
  <c r="M17" i="38" l="1"/>
  <c r="K17" i="38"/>
  <c r="M18" i="37"/>
  <c r="K18" i="37"/>
  <c r="L18" i="37" s="1"/>
  <c r="I45" i="17"/>
  <c r="F12" i="1" l="1"/>
  <c r="D45" i="17"/>
  <c r="W36" i="17" l="1"/>
  <c r="D36" i="17"/>
  <c r="F58" i="2" l="1"/>
  <c r="C58" i="2"/>
  <c r="E34" i="2"/>
  <c r="C34" i="2"/>
  <c r="F81" i="2" l="1"/>
  <c r="C81" i="2"/>
  <c r="F75" i="2"/>
  <c r="C75" i="2"/>
  <c r="F47" i="2"/>
  <c r="F46" i="2"/>
  <c r="F45" i="2"/>
  <c r="F44" i="2"/>
  <c r="C47" i="2"/>
  <c r="C46" i="2"/>
  <c r="C45" i="2"/>
  <c r="C44" i="2"/>
  <c r="F48" i="2" l="1"/>
  <c r="L22" i="17"/>
  <c r="P155" i="38"/>
  <c r="O155" i="38"/>
  <c r="M155" i="38"/>
  <c r="J155" i="38"/>
  <c r="P154" i="38"/>
  <c r="O154" i="38"/>
  <c r="M154" i="38"/>
  <c r="J154" i="38"/>
  <c r="P153" i="38"/>
  <c r="O153" i="38"/>
  <c r="M153" i="38"/>
  <c r="J153" i="38"/>
  <c r="P152" i="38"/>
  <c r="O152" i="38"/>
  <c r="M152" i="38"/>
  <c r="J152" i="38"/>
  <c r="P151" i="38"/>
  <c r="O151" i="38"/>
  <c r="M151" i="38"/>
  <c r="J151" i="38"/>
  <c r="P150" i="38"/>
  <c r="O150" i="38"/>
  <c r="M150" i="38"/>
  <c r="J150" i="38"/>
  <c r="P149" i="38"/>
  <c r="O149" i="38"/>
  <c r="M149" i="38"/>
  <c r="J149" i="38"/>
  <c r="P148" i="38"/>
  <c r="O148" i="38"/>
  <c r="M148" i="38"/>
  <c r="J148" i="38"/>
  <c r="P147" i="38"/>
  <c r="O147" i="38"/>
  <c r="M147" i="38"/>
  <c r="J147" i="38"/>
  <c r="P146" i="38"/>
  <c r="O146" i="38"/>
  <c r="M146" i="38"/>
  <c r="J146" i="38"/>
  <c r="P145" i="38"/>
  <c r="O145" i="38"/>
  <c r="M145" i="38"/>
  <c r="J145" i="38"/>
  <c r="P144" i="38"/>
  <c r="O144" i="38"/>
  <c r="M144" i="38"/>
  <c r="J144" i="38"/>
  <c r="P143" i="38"/>
  <c r="O143" i="38"/>
  <c r="M143" i="38"/>
  <c r="J143" i="38"/>
  <c r="P142" i="38"/>
  <c r="O142" i="38"/>
  <c r="M142" i="38"/>
  <c r="J142" i="38"/>
  <c r="P141" i="38"/>
  <c r="O141" i="38"/>
  <c r="M141" i="38"/>
  <c r="J141" i="38"/>
  <c r="P140" i="38"/>
  <c r="O140" i="38"/>
  <c r="M140" i="38"/>
  <c r="J140" i="38"/>
  <c r="P139" i="38"/>
  <c r="O139" i="38"/>
  <c r="M139" i="38"/>
  <c r="J139" i="38"/>
  <c r="P138" i="38"/>
  <c r="O138" i="38"/>
  <c r="M138" i="38"/>
  <c r="J138" i="38"/>
  <c r="P137" i="38"/>
  <c r="O137" i="38"/>
  <c r="M137" i="38"/>
  <c r="J137" i="38"/>
  <c r="P136" i="38"/>
  <c r="O136" i="38"/>
  <c r="M136" i="38"/>
  <c r="J136" i="38"/>
  <c r="P135" i="38"/>
  <c r="O135" i="38"/>
  <c r="M135" i="38"/>
  <c r="J135" i="38"/>
  <c r="P134" i="38"/>
  <c r="O134" i="38"/>
  <c r="M134" i="38"/>
  <c r="J134" i="38"/>
  <c r="P133" i="38"/>
  <c r="O133" i="38"/>
  <c r="M133" i="38"/>
  <c r="J133" i="38"/>
  <c r="P132" i="38"/>
  <c r="O132" i="38"/>
  <c r="M132" i="38"/>
  <c r="J132" i="38"/>
  <c r="O131" i="38"/>
  <c r="M131" i="38"/>
  <c r="O130" i="38"/>
  <c r="M130" i="38"/>
  <c r="O129" i="38"/>
  <c r="M129" i="38"/>
  <c r="O128" i="38"/>
  <c r="M128" i="38"/>
  <c r="O127" i="38"/>
  <c r="M127" i="38"/>
  <c r="O126" i="38"/>
  <c r="M126" i="38"/>
  <c r="O125" i="38"/>
  <c r="M125" i="38"/>
  <c r="O124" i="38"/>
  <c r="M124" i="38"/>
  <c r="O123" i="38"/>
  <c r="M123" i="38"/>
  <c r="O122" i="38"/>
  <c r="M122" i="38"/>
  <c r="O121" i="38"/>
  <c r="M121" i="38"/>
  <c r="O120" i="38"/>
  <c r="M120" i="38"/>
  <c r="O119" i="38"/>
  <c r="M119" i="38"/>
  <c r="O118" i="38"/>
  <c r="M118" i="38"/>
  <c r="O117" i="38"/>
  <c r="M117" i="38"/>
  <c r="O116" i="38"/>
  <c r="M116" i="38"/>
  <c r="O115" i="38"/>
  <c r="M115" i="38"/>
  <c r="O114" i="38"/>
  <c r="M114" i="38"/>
  <c r="O113" i="38"/>
  <c r="M113" i="38"/>
  <c r="O112" i="38"/>
  <c r="M112" i="38"/>
  <c r="O111" i="38"/>
  <c r="M111" i="38"/>
  <c r="O110" i="38"/>
  <c r="M110" i="38"/>
  <c r="O109" i="38"/>
  <c r="M109" i="38"/>
  <c r="O108" i="38"/>
  <c r="M108" i="38"/>
  <c r="O107" i="38"/>
  <c r="M107" i="38"/>
  <c r="O106" i="38"/>
  <c r="M106" i="38"/>
  <c r="O105" i="38"/>
  <c r="M105" i="38"/>
  <c r="O104" i="38"/>
  <c r="M104" i="38"/>
  <c r="O103" i="38"/>
  <c r="M103" i="38"/>
  <c r="O102" i="38"/>
  <c r="M102" i="38"/>
  <c r="O101" i="38"/>
  <c r="M101" i="38"/>
  <c r="D97" i="38"/>
  <c r="D95" i="38"/>
  <c r="L94" i="38"/>
  <c r="J94" i="38"/>
  <c r="D94" i="38"/>
  <c r="D92" i="38"/>
  <c r="D90" i="38"/>
  <c r="N73" i="38"/>
  <c r="L73" i="38"/>
  <c r="N72" i="38"/>
  <c r="L72" i="38"/>
  <c r="N71" i="38"/>
  <c r="L71" i="38"/>
  <c r="N70" i="38"/>
  <c r="L70" i="38"/>
  <c r="N69" i="38"/>
  <c r="L69" i="38"/>
  <c r="N68" i="38"/>
  <c r="L68" i="38"/>
  <c r="N67" i="38"/>
  <c r="L67" i="38"/>
  <c r="N66" i="38"/>
  <c r="L66" i="38"/>
  <c r="N65" i="38"/>
  <c r="L65" i="38"/>
  <c r="N64" i="38"/>
  <c r="L64" i="38"/>
  <c r="N63" i="38"/>
  <c r="L63" i="38"/>
  <c r="N62" i="38"/>
  <c r="L62" i="38"/>
  <c r="N61" i="38"/>
  <c r="L61" i="38"/>
  <c r="N60" i="38"/>
  <c r="L60" i="38"/>
  <c r="N59" i="38"/>
  <c r="L59" i="38"/>
  <c r="N58" i="38"/>
  <c r="L58" i="38"/>
  <c r="N57" i="38"/>
  <c r="L57" i="38"/>
  <c r="N56" i="38"/>
  <c r="L56" i="38"/>
  <c r="N55" i="38"/>
  <c r="L55" i="38"/>
  <c r="N54" i="38"/>
  <c r="L54" i="38"/>
  <c r="N53" i="38"/>
  <c r="L53" i="38"/>
  <c r="N52" i="38"/>
  <c r="L52" i="38"/>
  <c r="N51" i="38"/>
  <c r="L51" i="38"/>
  <c r="N50" i="38"/>
  <c r="L50" i="38"/>
  <c r="N49" i="38"/>
  <c r="L49" i="38"/>
  <c r="N48" i="38"/>
  <c r="L48" i="38"/>
  <c r="N47" i="38"/>
  <c r="L47" i="38"/>
  <c r="N46" i="38"/>
  <c r="L46" i="38"/>
  <c r="N45" i="38"/>
  <c r="L45" i="38"/>
  <c r="N44" i="38"/>
  <c r="L44" i="38"/>
  <c r="N43" i="38"/>
  <c r="L43" i="38"/>
  <c r="N42" i="38"/>
  <c r="L42" i="38"/>
  <c r="N41" i="38"/>
  <c r="L41" i="38"/>
  <c r="N40" i="38"/>
  <c r="L40" i="38"/>
  <c r="N39" i="38"/>
  <c r="L39" i="38"/>
  <c r="N38" i="38"/>
  <c r="L38" i="38"/>
  <c r="N37" i="38"/>
  <c r="L37" i="38"/>
  <c r="N36" i="38"/>
  <c r="L36" i="38"/>
  <c r="N35" i="38"/>
  <c r="L35" i="38"/>
  <c r="N34" i="38"/>
  <c r="L34" i="38"/>
  <c r="N33" i="38"/>
  <c r="L33" i="38"/>
  <c r="N32" i="38"/>
  <c r="L32" i="38"/>
  <c r="N31" i="38"/>
  <c r="L31" i="38"/>
  <c r="N30" i="38"/>
  <c r="L30" i="38"/>
  <c r="N29" i="38"/>
  <c r="L29" i="38"/>
  <c r="N28" i="38"/>
  <c r="L28" i="38"/>
  <c r="N27" i="38"/>
  <c r="L27" i="38"/>
  <c r="N26" i="38"/>
  <c r="L26" i="38"/>
  <c r="N25" i="38"/>
  <c r="L25" i="38"/>
  <c r="N24" i="38"/>
  <c r="L24" i="38"/>
  <c r="N23" i="38"/>
  <c r="L23" i="38"/>
  <c r="N22" i="38"/>
  <c r="L22" i="38"/>
  <c r="N21" i="38"/>
  <c r="L21" i="38"/>
  <c r="N20" i="38"/>
  <c r="L20" i="38"/>
  <c r="N19" i="38"/>
  <c r="L19" i="38"/>
  <c r="N18" i="38"/>
  <c r="L18" i="38"/>
  <c r="N17" i="38"/>
  <c r="L17" i="38"/>
  <c r="C17" i="38"/>
  <c r="C18" i="38"/>
  <c r="C19" i="38" s="1"/>
  <c r="C20" i="38" s="1"/>
  <c r="C21" i="38" s="1"/>
  <c r="C22" i="38" s="1"/>
  <c r="C23" i="38" s="1"/>
  <c r="C24" i="38" s="1"/>
  <c r="C25" i="38" s="1"/>
  <c r="C26" i="38" s="1"/>
  <c r="C27" i="38" s="1"/>
  <c r="C28" i="38" s="1"/>
  <c r="C29" i="38" s="1"/>
  <c r="C30" i="38" s="1"/>
  <c r="C31" i="38" s="1"/>
  <c r="C32" i="38" s="1"/>
  <c r="C33" i="38" s="1"/>
  <c r="C34" i="38" s="1"/>
  <c r="C35" i="38" s="1"/>
  <c r="C36" i="38" s="1"/>
  <c r="C37" i="38" s="1"/>
  <c r="C38" i="38" s="1"/>
  <c r="C39" i="38" s="1"/>
  <c r="C40" i="38" s="1"/>
  <c r="C41" i="38" s="1"/>
  <c r="C42" i="38" s="1"/>
  <c r="C43" i="38" s="1"/>
  <c r="C44" i="38" s="1"/>
  <c r="C45" i="38" s="1"/>
  <c r="C46" i="38" s="1"/>
  <c r="C47" i="38" s="1"/>
  <c r="C48" i="38" s="1"/>
  <c r="C49" i="38" s="1"/>
  <c r="C50" i="38" s="1"/>
  <c r="C51" i="38" s="1"/>
  <c r="C52" i="38" s="1"/>
  <c r="C53" i="38" s="1"/>
  <c r="C54" i="38" s="1"/>
  <c r="C55" i="38" s="1"/>
  <c r="C56" i="38" s="1"/>
  <c r="C57" i="38" s="1"/>
  <c r="C58" i="38" s="1"/>
  <c r="C59" i="38" s="1"/>
  <c r="C60" i="38" s="1"/>
  <c r="C61" i="38" s="1"/>
  <c r="C62" i="38" s="1"/>
  <c r="C63" i="38" s="1"/>
  <c r="C64" i="38" s="1"/>
  <c r="C65" i="38" s="1"/>
  <c r="C66" i="38" s="1"/>
  <c r="C67" i="38" s="1"/>
  <c r="C68" i="38" s="1"/>
  <c r="C69" i="38" s="1"/>
  <c r="C70" i="38" s="1"/>
  <c r="C71" i="38" s="1"/>
  <c r="C72" i="38" s="1"/>
  <c r="B17" i="38"/>
  <c r="K11" i="38"/>
  <c r="I11" i="38"/>
  <c r="I10" i="38"/>
  <c r="D91" i="38"/>
  <c r="P1" i="38"/>
  <c r="P84" i="38" s="1"/>
  <c r="M17" i="37"/>
  <c r="N17" i="37" s="1"/>
  <c r="K17" i="37"/>
  <c r="L17" i="37" s="1"/>
  <c r="N100" i="35"/>
  <c r="L100" i="35"/>
  <c r="M18" i="35"/>
  <c r="N18" i="35" s="1"/>
  <c r="K18" i="35"/>
  <c r="L18" i="35" s="1"/>
  <c r="N100" i="34"/>
  <c r="L100" i="34"/>
  <c r="M100" i="34" s="1"/>
  <c r="M18" i="34"/>
  <c r="N18" i="34" s="1"/>
  <c r="K18" i="34"/>
  <c r="N100" i="31"/>
  <c r="L100" i="31"/>
  <c r="M18" i="31"/>
  <c r="N18" i="31" s="1"/>
  <c r="K18" i="31"/>
  <c r="L18" i="31" s="1"/>
  <c r="N100" i="29"/>
  <c r="L100" i="29"/>
  <c r="M100" i="29" s="1"/>
  <c r="M19" i="29"/>
  <c r="N19" i="29" s="1"/>
  <c r="K19" i="29"/>
  <c r="L19" i="29" s="1"/>
  <c r="N104" i="28"/>
  <c r="O104" i="28" s="1"/>
  <c r="P104" i="28" s="1"/>
  <c r="M104" i="28"/>
  <c r="L104" i="28"/>
  <c r="M22" i="28"/>
  <c r="N22" i="28" s="1"/>
  <c r="K22" i="28"/>
  <c r="L22" i="28" s="1"/>
  <c r="N104" i="27"/>
  <c r="O104" i="27" s="1"/>
  <c r="L104" i="27"/>
  <c r="M104" i="27" s="1"/>
  <c r="M22" i="27"/>
  <c r="N22" i="27" s="1"/>
  <c r="K22" i="27"/>
  <c r="L22" i="27" s="1"/>
  <c r="N103" i="26"/>
  <c r="O103" i="26" s="1"/>
  <c r="L103" i="26"/>
  <c r="M103" i="26"/>
  <c r="M21" i="26"/>
  <c r="N21" i="26" s="1"/>
  <c r="K21" i="26"/>
  <c r="L21" i="26" s="1"/>
  <c r="O21" i="26" s="1"/>
  <c r="N104" i="24"/>
  <c r="O104" i="24" s="1"/>
  <c r="L104" i="24"/>
  <c r="M104" i="24" s="1"/>
  <c r="M22" i="24"/>
  <c r="N22" i="24"/>
  <c r="K22" i="24"/>
  <c r="L22" i="24" s="1"/>
  <c r="N102" i="25"/>
  <c r="O102" i="25"/>
  <c r="L102" i="25"/>
  <c r="M102" i="25" s="1"/>
  <c r="P102" i="25" s="1"/>
  <c r="M20" i="25"/>
  <c r="N20" i="25" s="1"/>
  <c r="K20" i="25"/>
  <c r="L20" i="25" s="1"/>
  <c r="N103" i="23"/>
  <c r="O103" i="23" s="1"/>
  <c r="P103" i="23"/>
  <c r="M103" i="23"/>
  <c r="L103" i="23"/>
  <c r="M21" i="23"/>
  <c r="N21" i="23" s="1"/>
  <c r="L21" i="23"/>
  <c r="K21" i="23"/>
  <c r="N103" i="22"/>
  <c r="O103" i="22" s="1"/>
  <c r="L103" i="22"/>
  <c r="M103" i="22" s="1"/>
  <c r="M21" i="22"/>
  <c r="N21" i="22" s="1"/>
  <c r="O21" i="22" s="1"/>
  <c r="K21" i="22"/>
  <c r="L21" i="22"/>
  <c r="N104" i="21"/>
  <c r="O104" i="21" s="1"/>
  <c r="P104" i="21" s="1"/>
  <c r="L104" i="21"/>
  <c r="M104" i="21" s="1"/>
  <c r="M22" i="21"/>
  <c r="N22" i="21" s="1"/>
  <c r="L22" i="21"/>
  <c r="O22" i="21" s="1"/>
  <c r="K22" i="21"/>
  <c r="N106" i="19"/>
  <c r="O106" i="19" s="1"/>
  <c r="M106" i="19"/>
  <c r="L106" i="19"/>
  <c r="M24" i="19"/>
  <c r="N24" i="19" s="1"/>
  <c r="O24" i="19" s="1"/>
  <c r="K24" i="19"/>
  <c r="L24" i="19" s="1"/>
  <c r="N106" i="18"/>
  <c r="O106" i="18"/>
  <c r="P106" i="18" s="1"/>
  <c r="L106" i="18"/>
  <c r="M106" i="18" s="1"/>
  <c r="M24" i="18"/>
  <c r="N24" i="18" s="1"/>
  <c r="K24" i="18"/>
  <c r="L24" i="18" s="1"/>
  <c r="N107" i="4"/>
  <c r="O107" i="4"/>
  <c r="P107" i="4" s="1"/>
  <c r="L107" i="4"/>
  <c r="M107" i="4" s="1"/>
  <c r="M25" i="3"/>
  <c r="N25" i="3"/>
  <c r="O25" i="3" s="1"/>
  <c r="K25" i="3"/>
  <c r="L25" i="3" s="1"/>
  <c r="N107" i="3"/>
  <c r="O107" i="3" s="1"/>
  <c r="L107" i="3"/>
  <c r="M107" i="3" s="1"/>
  <c r="M25" i="4"/>
  <c r="N25" i="4" s="1"/>
  <c r="K25" i="4"/>
  <c r="L25" i="4" s="1"/>
  <c r="M17" i="31"/>
  <c r="K17" i="31"/>
  <c r="M17" i="35"/>
  <c r="N17" i="35"/>
  <c r="K17" i="35"/>
  <c r="L17" i="35" s="1"/>
  <c r="M17" i="34"/>
  <c r="N17" i="34" s="1"/>
  <c r="K17" i="34"/>
  <c r="C85" i="1"/>
  <c r="F82" i="1"/>
  <c r="C78" i="1"/>
  <c r="F72" i="1"/>
  <c r="C62" i="1"/>
  <c r="F44" i="1"/>
  <c r="C43" i="1"/>
  <c r="F42" i="1"/>
  <c r="C34" i="1"/>
  <c r="E31" i="1"/>
  <c r="C24" i="1"/>
  <c r="D18" i="1"/>
  <c r="I10" i="13"/>
  <c r="F56" i="1"/>
  <c r="C45" i="1"/>
  <c r="C56" i="1"/>
  <c r="C31" i="1"/>
  <c r="D19" i="1"/>
  <c r="C12" i="1"/>
  <c r="W35" i="17"/>
  <c r="D8" i="37"/>
  <c r="D91" i="37" s="1"/>
  <c r="P155" i="37"/>
  <c r="O155" i="37"/>
  <c r="M155" i="37"/>
  <c r="J155" i="37"/>
  <c r="P154" i="37"/>
  <c r="O154" i="37"/>
  <c r="M154" i="37"/>
  <c r="J154" i="37"/>
  <c r="P153" i="37"/>
  <c r="O153" i="37"/>
  <c r="M153" i="37"/>
  <c r="J153" i="37"/>
  <c r="P152" i="37"/>
  <c r="O152" i="37"/>
  <c r="M152" i="37"/>
  <c r="J152" i="37"/>
  <c r="P151" i="37"/>
  <c r="O151" i="37"/>
  <c r="M151" i="37"/>
  <c r="J151" i="37"/>
  <c r="P150" i="37"/>
  <c r="O150" i="37"/>
  <c r="M150" i="37"/>
  <c r="J150" i="37"/>
  <c r="P149" i="37"/>
  <c r="O149" i="37"/>
  <c r="M149" i="37"/>
  <c r="J149" i="37"/>
  <c r="P148" i="37"/>
  <c r="O148" i="37"/>
  <c r="M148" i="37"/>
  <c r="J148" i="37"/>
  <c r="P147" i="37"/>
  <c r="O147" i="37"/>
  <c r="M147" i="37"/>
  <c r="J147" i="37"/>
  <c r="P146" i="37"/>
  <c r="O146" i="37"/>
  <c r="M146" i="37"/>
  <c r="J146" i="37"/>
  <c r="P145" i="37"/>
  <c r="O145" i="37"/>
  <c r="M145" i="37"/>
  <c r="J145" i="37"/>
  <c r="P144" i="37"/>
  <c r="O144" i="37"/>
  <c r="M144" i="37"/>
  <c r="J144" i="37"/>
  <c r="P143" i="37"/>
  <c r="O143" i="37"/>
  <c r="M143" i="37"/>
  <c r="J143" i="37"/>
  <c r="P142" i="37"/>
  <c r="O142" i="37"/>
  <c r="M142" i="37"/>
  <c r="J142" i="37"/>
  <c r="P141" i="37"/>
  <c r="O141" i="37"/>
  <c r="M141" i="37"/>
  <c r="J141" i="37"/>
  <c r="P140" i="37"/>
  <c r="O140" i="37"/>
  <c r="M140" i="37"/>
  <c r="J140" i="37"/>
  <c r="P139" i="37"/>
  <c r="O139" i="37"/>
  <c r="M139" i="37"/>
  <c r="J139" i="37"/>
  <c r="P138" i="37"/>
  <c r="O138" i="37"/>
  <c r="M138" i="37"/>
  <c r="J138" i="37"/>
  <c r="P137" i="37"/>
  <c r="O137" i="37"/>
  <c r="M137" i="37"/>
  <c r="J137" i="37"/>
  <c r="P136" i="37"/>
  <c r="O136" i="37"/>
  <c r="M136" i="37"/>
  <c r="J136" i="37"/>
  <c r="P135" i="37"/>
  <c r="O135" i="37"/>
  <c r="M135" i="37"/>
  <c r="J135" i="37"/>
  <c r="P134" i="37"/>
  <c r="O134" i="37"/>
  <c r="M134" i="37"/>
  <c r="J134" i="37"/>
  <c r="P133" i="37"/>
  <c r="O133" i="37"/>
  <c r="M133" i="37"/>
  <c r="J133" i="37"/>
  <c r="P132" i="37"/>
  <c r="O132" i="37"/>
  <c r="M132" i="37"/>
  <c r="J132" i="37"/>
  <c r="O131" i="37"/>
  <c r="M131" i="37"/>
  <c r="O130" i="37"/>
  <c r="M130" i="37"/>
  <c r="O129" i="37"/>
  <c r="M129" i="37"/>
  <c r="O128" i="37"/>
  <c r="M128" i="37"/>
  <c r="O127" i="37"/>
  <c r="M127" i="37"/>
  <c r="O126" i="37"/>
  <c r="M126" i="37"/>
  <c r="O125" i="37"/>
  <c r="M125" i="37"/>
  <c r="O124" i="37"/>
  <c r="M124" i="37"/>
  <c r="O123" i="37"/>
  <c r="M123" i="37"/>
  <c r="O122" i="37"/>
  <c r="M122" i="37"/>
  <c r="O121" i="37"/>
  <c r="M121" i="37"/>
  <c r="O120" i="37"/>
  <c r="M120" i="37"/>
  <c r="O119" i="37"/>
  <c r="M119" i="37"/>
  <c r="O118" i="37"/>
  <c r="M118" i="37"/>
  <c r="O117" i="37"/>
  <c r="M117" i="37"/>
  <c r="O116" i="37"/>
  <c r="M116" i="37"/>
  <c r="O115" i="37"/>
  <c r="M115" i="37"/>
  <c r="O114" i="37"/>
  <c r="M114" i="37"/>
  <c r="O113" i="37"/>
  <c r="M113" i="37"/>
  <c r="O112" i="37"/>
  <c r="M112" i="37"/>
  <c r="O111" i="37"/>
  <c r="M111" i="37"/>
  <c r="O110" i="37"/>
  <c r="M110" i="37"/>
  <c r="O109" i="37"/>
  <c r="M109" i="37"/>
  <c r="O108" i="37"/>
  <c r="M108" i="37"/>
  <c r="O107" i="37"/>
  <c r="M107" i="37"/>
  <c r="O106" i="37"/>
  <c r="M106" i="37"/>
  <c r="O105" i="37"/>
  <c r="M105" i="37"/>
  <c r="O104" i="37"/>
  <c r="M104" i="37"/>
  <c r="O103" i="37"/>
  <c r="M103" i="37"/>
  <c r="D97" i="37"/>
  <c r="D95" i="37"/>
  <c r="L94" i="37"/>
  <c r="J94" i="37"/>
  <c r="D94" i="37"/>
  <c r="C101" i="37" s="1"/>
  <c r="C102" i="37" s="1"/>
  <c r="C103" i="37" s="1"/>
  <c r="C104" i="37" s="1"/>
  <c r="C105" i="37" s="1"/>
  <c r="C106" i="37" s="1"/>
  <c r="C107" i="37" s="1"/>
  <c r="C108" i="37" s="1"/>
  <c r="C109" i="37" s="1"/>
  <c r="C110" i="37" s="1"/>
  <c r="C111" i="37" s="1"/>
  <c r="C112" i="37" s="1"/>
  <c r="C113" i="37" s="1"/>
  <c r="C114" i="37" s="1"/>
  <c r="C115" i="37" s="1"/>
  <c r="C116" i="37" s="1"/>
  <c r="C117" i="37" s="1"/>
  <c r="C118" i="37" s="1"/>
  <c r="C119" i="37" s="1"/>
  <c r="C120" i="37" s="1"/>
  <c r="C121" i="37" s="1"/>
  <c r="C122" i="37" s="1"/>
  <c r="C123" i="37" s="1"/>
  <c r="C124" i="37" s="1"/>
  <c r="C125" i="37" s="1"/>
  <c r="C126" i="37" s="1"/>
  <c r="C127" i="37" s="1"/>
  <c r="C128" i="37" s="1"/>
  <c r="C129" i="37" s="1"/>
  <c r="C130" i="37" s="1"/>
  <c r="C131" i="37" s="1"/>
  <c r="C132" i="37" s="1"/>
  <c r="C133" i="37" s="1"/>
  <c r="C134" i="37" s="1"/>
  <c r="C135" i="37" s="1"/>
  <c r="C136" i="37" s="1"/>
  <c r="C137" i="37" s="1"/>
  <c r="C138" i="37" s="1"/>
  <c r="C139" i="37" s="1"/>
  <c r="C140" i="37" s="1"/>
  <c r="C141" i="37" s="1"/>
  <c r="C142" i="37" s="1"/>
  <c r="C143" i="37" s="1"/>
  <c r="C144" i="37" s="1"/>
  <c r="C145" i="37" s="1"/>
  <c r="C146" i="37" s="1"/>
  <c r="C147" i="37" s="1"/>
  <c r="C148" i="37" s="1"/>
  <c r="C149" i="37" s="1"/>
  <c r="C150" i="37" s="1"/>
  <c r="C151" i="37" s="1"/>
  <c r="C152" i="37" s="1"/>
  <c r="C153" i="37" s="1"/>
  <c r="C154" i="37" s="1"/>
  <c r="C155" i="37" s="1"/>
  <c r="C100" i="37"/>
  <c r="D100" i="37" s="1"/>
  <c r="B100" i="37" s="1"/>
  <c r="D92" i="37"/>
  <c r="D90" i="37"/>
  <c r="N73" i="37"/>
  <c r="L73" i="37"/>
  <c r="N72" i="37"/>
  <c r="L72" i="37"/>
  <c r="N71" i="37"/>
  <c r="L71" i="37"/>
  <c r="N70" i="37"/>
  <c r="L70" i="37"/>
  <c r="N69" i="37"/>
  <c r="L69" i="37"/>
  <c r="N68" i="37"/>
  <c r="L68" i="37"/>
  <c r="N67" i="37"/>
  <c r="L67" i="37"/>
  <c r="N66" i="37"/>
  <c r="L66" i="37"/>
  <c r="N65" i="37"/>
  <c r="L65" i="37"/>
  <c r="N64" i="37"/>
  <c r="L64" i="37"/>
  <c r="N63" i="37"/>
  <c r="L63" i="37"/>
  <c r="N62" i="37"/>
  <c r="L62" i="37"/>
  <c r="N61" i="37"/>
  <c r="L61" i="37"/>
  <c r="N60" i="37"/>
  <c r="L60" i="37"/>
  <c r="N59" i="37"/>
  <c r="L59" i="37"/>
  <c r="N58" i="37"/>
  <c r="L58" i="37"/>
  <c r="N57" i="37"/>
  <c r="L57" i="37"/>
  <c r="N56" i="37"/>
  <c r="L56" i="37"/>
  <c r="N55" i="37"/>
  <c r="L55" i="37"/>
  <c r="N54" i="37"/>
  <c r="O54" i="37" s="1"/>
  <c r="L54" i="37"/>
  <c r="N53" i="37"/>
  <c r="L53" i="37"/>
  <c r="N52" i="37"/>
  <c r="O52" i="37" s="1"/>
  <c r="L52" i="37"/>
  <c r="N51" i="37"/>
  <c r="L51" i="37"/>
  <c r="N50" i="37"/>
  <c r="L50" i="37"/>
  <c r="N49" i="37"/>
  <c r="L49" i="37"/>
  <c r="N48" i="37"/>
  <c r="L48" i="37"/>
  <c r="N47" i="37"/>
  <c r="L47" i="37"/>
  <c r="N46" i="37"/>
  <c r="L46" i="37"/>
  <c r="N45" i="37"/>
  <c r="L45" i="37"/>
  <c r="N44" i="37"/>
  <c r="L44" i="37"/>
  <c r="N43" i="37"/>
  <c r="L43" i="37"/>
  <c r="N42" i="37"/>
  <c r="O42" i="37" s="1"/>
  <c r="L42" i="37"/>
  <c r="N41" i="37"/>
  <c r="L41" i="37"/>
  <c r="N40" i="37"/>
  <c r="L40" i="37"/>
  <c r="N39" i="37"/>
  <c r="L39" i="37"/>
  <c r="N38" i="37"/>
  <c r="L38" i="37"/>
  <c r="N37" i="37"/>
  <c r="L37" i="37"/>
  <c r="N36" i="37"/>
  <c r="L36" i="37"/>
  <c r="N35" i="37"/>
  <c r="L35" i="37"/>
  <c r="N34" i="37"/>
  <c r="L34" i="37"/>
  <c r="N33" i="37"/>
  <c r="L33" i="37"/>
  <c r="N32" i="37"/>
  <c r="L32" i="37"/>
  <c r="N31" i="37"/>
  <c r="L31" i="37"/>
  <c r="N30" i="37"/>
  <c r="L30" i="37"/>
  <c r="N29" i="37"/>
  <c r="L29" i="37"/>
  <c r="N28" i="37"/>
  <c r="L28" i="37"/>
  <c r="N27" i="37"/>
  <c r="L27" i="37"/>
  <c r="N26" i="37"/>
  <c r="L26" i="37"/>
  <c r="N25" i="37"/>
  <c r="L25" i="37"/>
  <c r="N24" i="37"/>
  <c r="L24" i="37"/>
  <c r="N23" i="37"/>
  <c r="L23" i="37"/>
  <c r="N22" i="37"/>
  <c r="L22" i="37"/>
  <c r="N21" i="37"/>
  <c r="L21" i="37"/>
  <c r="N19" i="37"/>
  <c r="N18" i="37"/>
  <c r="C17" i="37"/>
  <c r="C18" i="37" s="1"/>
  <c r="C19" i="37" s="1"/>
  <c r="C20" i="37" s="1"/>
  <c r="C21" i="37" s="1"/>
  <c r="C22" i="37" s="1"/>
  <c r="C23" i="37" s="1"/>
  <c r="C24" i="37" s="1"/>
  <c r="C25" i="37" s="1"/>
  <c r="C26" i="37" s="1"/>
  <c r="C27" i="37" s="1"/>
  <c r="C28" i="37" s="1"/>
  <c r="C29" i="37" s="1"/>
  <c r="C30" i="37" s="1"/>
  <c r="C31" i="37" s="1"/>
  <c r="C32" i="37" s="1"/>
  <c r="C33" i="37" s="1"/>
  <c r="C34" i="37" s="1"/>
  <c r="C35" i="37" s="1"/>
  <c r="C36" i="37" s="1"/>
  <c r="C37" i="37" s="1"/>
  <c r="C38" i="37" s="1"/>
  <c r="C39" i="37" s="1"/>
  <c r="C40" i="37" s="1"/>
  <c r="C41" i="37" s="1"/>
  <c r="C42" i="37" s="1"/>
  <c r="C43" i="37" s="1"/>
  <c r="C44" i="37" s="1"/>
  <c r="C45" i="37" s="1"/>
  <c r="C46" i="37" s="1"/>
  <c r="C47" i="37" s="1"/>
  <c r="C48" i="37" s="1"/>
  <c r="C49" i="37" s="1"/>
  <c r="C50" i="37" s="1"/>
  <c r="C51" i="37" s="1"/>
  <c r="C52" i="37" s="1"/>
  <c r="C53" i="37" s="1"/>
  <c r="C54" i="37" s="1"/>
  <c r="C55" i="37" s="1"/>
  <c r="C56" i="37" s="1"/>
  <c r="C57" i="37" s="1"/>
  <c r="C58" i="37" s="1"/>
  <c r="C59" i="37" s="1"/>
  <c r="C60" i="37" s="1"/>
  <c r="C61" i="37" s="1"/>
  <c r="C62" i="37" s="1"/>
  <c r="C63" i="37" s="1"/>
  <c r="C64" i="37" s="1"/>
  <c r="C65" i="37" s="1"/>
  <c r="C66" i="37" s="1"/>
  <c r="C67" i="37" s="1"/>
  <c r="C68" i="37" s="1"/>
  <c r="C69" i="37" s="1"/>
  <c r="C70" i="37" s="1"/>
  <c r="C71" i="37" s="1"/>
  <c r="C72" i="37" s="1"/>
  <c r="B17" i="37"/>
  <c r="K11" i="37"/>
  <c r="I11" i="37"/>
  <c r="I10" i="37"/>
  <c r="P1" i="37"/>
  <c r="P84" i="37" s="1"/>
  <c r="M18" i="29"/>
  <c r="N18" i="29"/>
  <c r="K18" i="29"/>
  <c r="O103" i="28"/>
  <c r="N103" i="28"/>
  <c r="L103" i="28"/>
  <c r="M103" i="28" s="1"/>
  <c r="M21" i="28"/>
  <c r="N21" i="28" s="1"/>
  <c r="K21" i="28"/>
  <c r="L21" i="28" s="1"/>
  <c r="N103" i="27"/>
  <c r="O103" i="27"/>
  <c r="L103" i="27"/>
  <c r="M103" i="27"/>
  <c r="M21" i="27"/>
  <c r="N21" i="27"/>
  <c r="O21" i="27" s="1"/>
  <c r="L21" i="27"/>
  <c r="K21" i="27"/>
  <c r="N102" i="26"/>
  <c r="O102" i="26" s="1"/>
  <c r="L102" i="26"/>
  <c r="M102" i="26" s="1"/>
  <c r="M20" i="26"/>
  <c r="K20" i="26"/>
  <c r="L20" i="26" s="1"/>
  <c r="N103" i="24"/>
  <c r="O103" i="24"/>
  <c r="P103" i="24" s="1"/>
  <c r="L103" i="24"/>
  <c r="M103" i="24" s="1"/>
  <c r="M21" i="24"/>
  <c r="K21" i="24"/>
  <c r="L21" i="24" s="1"/>
  <c r="N101" i="25"/>
  <c r="O101" i="25"/>
  <c r="P101" i="25" s="1"/>
  <c r="L101" i="25"/>
  <c r="M101" i="25"/>
  <c r="M19" i="25"/>
  <c r="N19" i="25"/>
  <c r="K19" i="25"/>
  <c r="L19" i="25" s="1"/>
  <c r="N102" i="23"/>
  <c r="O102" i="23" s="1"/>
  <c r="P102" i="23" s="1"/>
  <c r="L102" i="23"/>
  <c r="M102" i="23"/>
  <c r="M20" i="23"/>
  <c r="N20" i="23" s="1"/>
  <c r="K20" i="23"/>
  <c r="L20" i="23"/>
  <c r="N102" i="22"/>
  <c r="O102" i="22"/>
  <c r="P102" i="22" s="1"/>
  <c r="L102" i="22"/>
  <c r="M102" i="22" s="1"/>
  <c r="M20" i="22"/>
  <c r="N20" i="22"/>
  <c r="K20" i="22"/>
  <c r="L20" i="22" s="1"/>
  <c r="I20" i="22"/>
  <c r="N103" i="21"/>
  <c r="O103" i="21"/>
  <c r="L103" i="21"/>
  <c r="M103" i="21" s="1"/>
  <c r="M21" i="21"/>
  <c r="N21" i="21"/>
  <c r="K21" i="21"/>
  <c r="L21" i="21" s="1"/>
  <c r="N105" i="19"/>
  <c r="O105" i="19" s="1"/>
  <c r="L105" i="19"/>
  <c r="M105" i="19" s="1"/>
  <c r="M23" i="19"/>
  <c r="N23" i="19" s="1"/>
  <c r="O23" i="19"/>
  <c r="K23" i="19"/>
  <c r="L23" i="19" s="1"/>
  <c r="N105" i="18"/>
  <c r="O105" i="18" s="1"/>
  <c r="L105" i="18"/>
  <c r="M105" i="18"/>
  <c r="M23" i="18"/>
  <c r="N23" i="18" s="1"/>
  <c r="O23" i="18" s="1"/>
  <c r="K23" i="18"/>
  <c r="L23" i="18" s="1"/>
  <c r="N106" i="4"/>
  <c r="O106" i="4"/>
  <c r="L106" i="4"/>
  <c r="M106" i="4"/>
  <c r="M24" i="4"/>
  <c r="N24" i="4"/>
  <c r="K24" i="4"/>
  <c r="L24" i="4" s="1"/>
  <c r="N106" i="3"/>
  <c r="O106" i="3"/>
  <c r="M106" i="3"/>
  <c r="L106" i="3"/>
  <c r="M24" i="3"/>
  <c r="N24" i="3" s="1"/>
  <c r="K24" i="3"/>
  <c r="L24" i="3"/>
  <c r="K17" i="29"/>
  <c r="F66" i="2"/>
  <c r="C66" i="2"/>
  <c r="I10" i="35"/>
  <c r="I10" i="34"/>
  <c r="D95" i="34" s="1"/>
  <c r="I10" i="31"/>
  <c r="I10" i="28"/>
  <c r="I10" i="27"/>
  <c r="I10" i="24"/>
  <c r="I10" i="25"/>
  <c r="D95" i="25" s="1"/>
  <c r="I10" i="23"/>
  <c r="I10" i="21"/>
  <c r="I10" i="20"/>
  <c r="D93" i="20" s="1"/>
  <c r="J97" i="20" s="1"/>
  <c r="I10" i="19"/>
  <c r="D95" i="19" s="1"/>
  <c r="I10" i="4"/>
  <c r="D93" i="4" s="1"/>
  <c r="B106" i="4"/>
  <c r="I10" i="3"/>
  <c r="D93" i="3" s="1"/>
  <c r="N73" i="13"/>
  <c r="L73" i="13"/>
  <c r="N72" i="13"/>
  <c r="L72" i="13"/>
  <c r="N73" i="35"/>
  <c r="L73" i="35"/>
  <c r="N72" i="35"/>
  <c r="L72" i="35"/>
  <c r="N73" i="34"/>
  <c r="L73" i="34"/>
  <c r="N72" i="34"/>
  <c r="L72" i="34"/>
  <c r="D95" i="13"/>
  <c r="D94" i="13"/>
  <c r="W32" i="17"/>
  <c r="W33" i="17"/>
  <c r="W34" i="17"/>
  <c r="O38" i="17"/>
  <c r="N38" i="17"/>
  <c r="P1" i="35"/>
  <c r="P84" i="35" s="1"/>
  <c r="P155" i="35"/>
  <c r="O155" i="35"/>
  <c r="M155" i="35"/>
  <c r="J155" i="35"/>
  <c r="P154" i="35"/>
  <c r="O154" i="35"/>
  <c r="M154" i="35"/>
  <c r="J154" i="35"/>
  <c r="P153" i="35"/>
  <c r="O153" i="35"/>
  <c r="M153" i="35"/>
  <c r="J153" i="35"/>
  <c r="P152" i="35"/>
  <c r="O152" i="35"/>
  <c r="M152" i="35"/>
  <c r="J152" i="35"/>
  <c r="P151" i="35"/>
  <c r="O151" i="35"/>
  <c r="M151" i="35"/>
  <c r="J151" i="35"/>
  <c r="P150" i="35"/>
  <c r="O150" i="35"/>
  <c r="M150" i="35"/>
  <c r="J150" i="35"/>
  <c r="P149" i="35"/>
  <c r="O149" i="35"/>
  <c r="M149" i="35"/>
  <c r="J149" i="35"/>
  <c r="P148" i="35"/>
  <c r="O148" i="35"/>
  <c r="M148" i="35"/>
  <c r="J148" i="35"/>
  <c r="P147" i="35"/>
  <c r="O147" i="35"/>
  <c r="M147" i="35"/>
  <c r="J147" i="35"/>
  <c r="P146" i="35"/>
  <c r="O146" i="35"/>
  <c r="M146" i="35"/>
  <c r="J146" i="35"/>
  <c r="P145" i="35"/>
  <c r="O145" i="35"/>
  <c r="M145" i="35"/>
  <c r="J145" i="35"/>
  <c r="P144" i="35"/>
  <c r="O144" i="35"/>
  <c r="M144" i="35"/>
  <c r="J144" i="35"/>
  <c r="P143" i="35"/>
  <c r="O143" i="35"/>
  <c r="M143" i="35"/>
  <c r="J143" i="35"/>
  <c r="P142" i="35"/>
  <c r="O142" i="35"/>
  <c r="M142" i="35"/>
  <c r="J142" i="35"/>
  <c r="P141" i="35"/>
  <c r="O141" i="35"/>
  <c r="M141" i="35"/>
  <c r="J141" i="35"/>
  <c r="P140" i="35"/>
  <c r="O140" i="35"/>
  <c r="M140" i="35"/>
  <c r="J140" i="35"/>
  <c r="P139" i="35"/>
  <c r="O139" i="35"/>
  <c r="M139" i="35"/>
  <c r="J139" i="35"/>
  <c r="P138" i="35"/>
  <c r="O138" i="35"/>
  <c r="M138" i="35"/>
  <c r="J138" i="35"/>
  <c r="P137" i="35"/>
  <c r="O137" i="35"/>
  <c r="M137" i="35"/>
  <c r="J137" i="35"/>
  <c r="P136" i="35"/>
  <c r="O136" i="35"/>
  <c r="M136" i="35"/>
  <c r="J136" i="35"/>
  <c r="P135" i="35"/>
  <c r="O135" i="35"/>
  <c r="M135" i="35"/>
  <c r="J135" i="35"/>
  <c r="P134" i="35"/>
  <c r="O134" i="35"/>
  <c r="M134" i="35"/>
  <c r="J134" i="35"/>
  <c r="P133" i="35"/>
  <c r="O133" i="35"/>
  <c r="M133" i="35"/>
  <c r="J133" i="35"/>
  <c r="P132" i="35"/>
  <c r="O132" i="35"/>
  <c r="M132" i="35"/>
  <c r="J132" i="35"/>
  <c r="O131" i="35"/>
  <c r="M131" i="35"/>
  <c r="O130" i="35"/>
  <c r="M130" i="35"/>
  <c r="O129" i="35"/>
  <c r="M129" i="35"/>
  <c r="O128" i="35"/>
  <c r="M128" i="35"/>
  <c r="O127" i="35"/>
  <c r="M127" i="35"/>
  <c r="O126" i="35"/>
  <c r="M126" i="35"/>
  <c r="O125" i="35"/>
  <c r="M125" i="35"/>
  <c r="O124" i="35"/>
  <c r="M124" i="35"/>
  <c r="O123" i="35"/>
  <c r="M123" i="35"/>
  <c r="O122" i="35"/>
  <c r="M122" i="35"/>
  <c r="O121" i="35"/>
  <c r="M121" i="35"/>
  <c r="O120" i="35"/>
  <c r="M120" i="35"/>
  <c r="O119" i="35"/>
  <c r="M119" i="35"/>
  <c r="O118" i="35"/>
  <c r="M118" i="35"/>
  <c r="O117" i="35"/>
  <c r="M117" i="35"/>
  <c r="O116" i="35"/>
  <c r="M116" i="35"/>
  <c r="O115" i="35"/>
  <c r="M115" i="35"/>
  <c r="O114" i="35"/>
  <c r="M114" i="35"/>
  <c r="O113" i="35"/>
  <c r="M113" i="35"/>
  <c r="O112" i="35"/>
  <c r="M112" i="35"/>
  <c r="O111" i="35"/>
  <c r="M111" i="35"/>
  <c r="O110" i="35"/>
  <c r="M110" i="35"/>
  <c r="O109" i="35"/>
  <c r="M109" i="35"/>
  <c r="O108" i="35"/>
  <c r="M108" i="35"/>
  <c r="O107" i="35"/>
  <c r="M107" i="35"/>
  <c r="O106" i="35"/>
  <c r="M106" i="35"/>
  <c r="O105" i="35"/>
  <c r="M105" i="35"/>
  <c r="O104" i="35"/>
  <c r="M104" i="35"/>
  <c r="O103" i="35"/>
  <c r="M103" i="35"/>
  <c r="O102" i="35"/>
  <c r="M102" i="35"/>
  <c r="O100" i="35"/>
  <c r="M100" i="35"/>
  <c r="D97" i="35"/>
  <c r="L94" i="35"/>
  <c r="J94" i="35"/>
  <c r="D92" i="35"/>
  <c r="D90" i="35"/>
  <c r="N71" i="35"/>
  <c r="L71" i="35"/>
  <c r="N70" i="35"/>
  <c r="L70" i="35"/>
  <c r="N69" i="35"/>
  <c r="L69" i="35"/>
  <c r="N68" i="35"/>
  <c r="L68" i="35"/>
  <c r="N67" i="35"/>
  <c r="L67" i="35"/>
  <c r="N66" i="35"/>
  <c r="L66" i="35"/>
  <c r="N65" i="35"/>
  <c r="L65" i="35"/>
  <c r="N64" i="35"/>
  <c r="L64" i="35"/>
  <c r="N63" i="35"/>
  <c r="L63" i="35"/>
  <c r="N62" i="35"/>
  <c r="L62" i="35"/>
  <c r="N61" i="35"/>
  <c r="L61" i="35"/>
  <c r="N60" i="35"/>
  <c r="L60" i="35"/>
  <c r="N59" i="35"/>
  <c r="L59" i="35"/>
  <c r="N58" i="35"/>
  <c r="L58" i="35"/>
  <c r="N57" i="35"/>
  <c r="L57" i="35"/>
  <c r="N56" i="35"/>
  <c r="L56" i="35"/>
  <c r="N55" i="35"/>
  <c r="L55" i="35"/>
  <c r="N54" i="35"/>
  <c r="L54" i="35"/>
  <c r="N53" i="35"/>
  <c r="L53" i="35"/>
  <c r="N52" i="35"/>
  <c r="L52" i="35"/>
  <c r="N51" i="35"/>
  <c r="L51" i="35"/>
  <c r="N50" i="35"/>
  <c r="L50" i="35"/>
  <c r="N49" i="35"/>
  <c r="L49" i="35"/>
  <c r="N48" i="35"/>
  <c r="L48" i="35"/>
  <c r="N47" i="35"/>
  <c r="L47" i="35"/>
  <c r="N46" i="35"/>
  <c r="L46" i="35"/>
  <c r="N45" i="35"/>
  <c r="L45" i="35"/>
  <c r="N44" i="35"/>
  <c r="L44" i="35"/>
  <c r="N43" i="35"/>
  <c r="L43" i="35"/>
  <c r="N42" i="35"/>
  <c r="L42" i="35"/>
  <c r="N41" i="35"/>
  <c r="L41" i="35"/>
  <c r="N40" i="35"/>
  <c r="L40" i="35"/>
  <c r="N39" i="35"/>
  <c r="L39" i="35"/>
  <c r="N38" i="35"/>
  <c r="L38" i="35"/>
  <c r="N37" i="35"/>
  <c r="L37" i="35"/>
  <c r="N36" i="35"/>
  <c r="L36" i="35"/>
  <c r="N35" i="35"/>
  <c r="L35" i="35"/>
  <c r="N34" i="35"/>
  <c r="L34" i="35"/>
  <c r="N33" i="35"/>
  <c r="L33" i="35"/>
  <c r="N32" i="35"/>
  <c r="L32" i="35"/>
  <c r="N31" i="35"/>
  <c r="L31" i="35"/>
  <c r="N30" i="35"/>
  <c r="L30" i="35"/>
  <c r="N29" i="35"/>
  <c r="L29" i="35"/>
  <c r="N28" i="35"/>
  <c r="L28" i="35"/>
  <c r="N27" i="35"/>
  <c r="L27" i="35"/>
  <c r="N26" i="35"/>
  <c r="L26" i="35"/>
  <c r="N25" i="35"/>
  <c r="L25" i="35"/>
  <c r="N24" i="35"/>
  <c r="L24" i="35"/>
  <c r="N23" i="35"/>
  <c r="L23" i="35"/>
  <c r="N22" i="35"/>
  <c r="L22" i="35"/>
  <c r="N21" i="35"/>
  <c r="L21" i="35"/>
  <c r="N20" i="35"/>
  <c r="L20" i="35"/>
  <c r="C17" i="35"/>
  <c r="C18" i="35" s="1"/>
  <c r="C19" i="35" s="1"/>
  <c r="C20" i="35" s="1"/>
  <c r="C21" i="35" s="1"/>
  <c r="C22" i="35" s="1"/>
  <c r="C23" i="35" s="1"/>
  <c r="C24" i="35" s="1"/>
  <c r="C25" i="35" s="1"/>
  <c r="C26" i="35" s="1"/>
  <c r="C27" i="35" s="1"/>
  <c r="C28" i="35" s="1"/>
  <c r="C29" i="35" s="1"/>
  <c r="C30" i="35" s="1"/>
  <c r="C31" i="35" s="1"/>
  <c r="C32" i="35" s="1"/>
  <c r="C33" i="35" s="1"/>
  <c r="C34" i="35" s="1"/>
  <c r="C35" i="35" s="1"/>
  <c r="C36" i="35" s="1"/>
  <c r="C37" i="35" s="1"/>
  <c r="C38" i="35" s="1"/>
  <c r="C39" i="35" s="1"/>
  <c r="C40" i="35" s="1"/>
  <c r="C41" i="35" s="1"/>
  <c r="C42" i="35" s="1"/>
  <c r="C43" i="35" s="1"/>
  <c r="C44" i="35" s="1"/>
  <c r="C45" i="35" s="1"/>
  <c r="C46" i="35" s="1"/>
  <c r="C47" i="35" s="1"/>
  <c r="C48" i="35" s="1"/>
  <c r="C49" i="35" s="1"/>
  <c r="C50" i="35" s="1"/>
  <c r="C51" i="35" s="1"/>
  <c r="C52" i="35" s="1"/>
  <c r="C53" i="35" s="1"/>
  <c r="C54" i="35" s="1"/>
  <c r="C55" i="35" s="1"/>
  <c r="C56" i="35" s="1"/>
  <c r="C57" i="35" s="1"/>
  <c r="C58" i="35" s="1"/>
  <c r="C59" i="35" s="1"/>
  <c r="C60" i="35" s="1"/>
  <c r="C61" i="35" s="1"/>
  <c r="C62" i="35" s="1"/>
  <c r="C63" i="35" s="1"/>
  <c r="C64" i="35" s="1"/>
  <c r="C65" i="35" s="1"/>
  <c r="C66" i="35" s="1"/>
  <c r="C67" i="35" s="1"/>
  <c r="C68" i="35" s="1"/>
  <c r="C69" i="35" s="1"/>
  <c r="C70" i="35" s="1"/>
  <c r="C71" i="35" s="1"/>
  <c r="C72" i="35" s="1"/>
  <c r="K11" i="35"/>
  <c r="I11" i="35"/>
  <c r="D8" i="35"/>
  <c r="D91" i="35" s="1"/>
  <c r="P1" i="34"/>
  <c r="P84" i="34" s="1"/>
  <c r="P155" i="34"/>
  <c r="O155" i="34"/>
  <c r="M155" i="34"/>
  <c r="J155" i="34"/>
  <c r="P154" i="34"/>
  <c r="O154" i="34"/>
  <c r="M154" i="34"/>
  <c r="J154" i="34"/>
  <c r="P153" i="34"/>
  <c r="O153" i="34"/>
  <c r="M153" i="34"/>
  <c r="J153" i="34"/>
  <c r="P152" i="34"/>
  <c r="O152" i="34"/>
  <c r="M152" i="34"/>
  <c r="J152" i="34"/>
  <c r="P151" i="34"/>
  <c r="O151" i="34"/>
  <c r="M151" i="34"/>
  <c r="J151" i="34"/>
  <c r="P150" i="34"/>
  <c r="O150" i="34"/>
  <c r="M150" i="34"/>
  <c r="J150" i="34"/>
  <c r="P149" i="34"/>
  <c r="O149" i="34"/>
  <c r="M149" i="34"/>
  <c r="J149" i="34"/>
  <c r="P148" i="34"/>
  <c r="O148" i="34"/>
  <c r="M148" i="34"/>
  <c r="J148" i="34"/>
  <c r="P147" i="34"/>
  <c r="O147" i="34"/>
  <c r="M147" i="34"/>
  <c r="J147" i="34"/>
  <c r="P146" i="34"/>
  <c r="O146" i="34"/>
  <c r="M146" i="34"/>
  <c r="J146" i="34"/>
  <c r="P145" i="34"/>
  <c r="O145" i="34"/>
  <c r="M145" i="34"/>
  <c r="J145" i="34"/>
  <c r="P144" i="34"/>
  <c r="O144" i="34"/>
  <c r="M144" i="34"/>
  <c r="J144" i="34"/>
  <c r="P143" i="34"/>
  <c r="O143" i="34"/>
  <c r="M143" i="34"/>
  <c r="J143" i="34"/>
  <c r="P142" i="34"/>
  <c r="O142" i="34"/>
  <c r="M142" i="34"/>
  <c r="J142" i="34"/>
  <c r="P141" i="34"/>
  <c r="O141" i="34"/>
  <c r="M141" i="34"/>
  <c r="J141" i="34"/>
  <c r="P140" i="34"/>
  <c r="O140" i="34"/>
  <c r="M140" i="34"/>
  <c r="J140" i="34"/>
  <c r="P139" i="34"/>
  <c r="O139" i="34"/>
  <c r="M139" i="34"/>
  <c r="J139" i="34"/>
  <c r="P138" i="34"/>
  <c r="O138" i="34"/>
  <c r="M138" i="34"/>
  <c r="J138" i="34"/>
  <c r="P137" i="34"/>
  <c r="O137" i="34"/>
  <c r="M137" i="34"/>
  <c r="J137" i="34"/>
  <c r="P136" i="34"/>
  <c r="O136" i="34"/>
  <c r="M136" i="34"/>
  <c r="J136" i="34"/>
  <c r="P135" i="34"/>
  <c r="O135" i="34"/>
  <c r="M135" i="34"/>
  <c r="J135" i="34"/>
  <c r="P134" i="34"/>
  <c r="O134" i="34"/>
  <c r="M134" i="34"/>
  <c r="J134" i="34"/>
  <c r="P133" i="34"/>
  <c r="O133" i="34"/>
  <c r="M133" i="34"/>
  <c r="J133" i="34"/>
  <c r="P132" i="34"/>
  <c r="O132" i="34"/>
  <c r="M132" i="34"/>
  <c r="J132" i="34"/>
  <c r="O131" i="34"/>
  <c r="M131" i="34"/>
  <c r="O130" i="34"/>
  <c r="M130" i="34"/>
  <c r="O129" i="34"/>
  <c r="M129" i="34"/>
  <c r="O128" i="34"/>
  <c r="M128" i="34"/>
  <c r="O127" i="34"/>
  <c r="M127" i="34"/>
  <c r="O126" i="34"/>
  <c r="M126" i="34"/>
  <c r="O125" i="34"/>
  <c r="M125" i="34"/>
  <c r="O124" i="34"/>
  <c r="M124" i="34"/>
  <c r="O123" i="34"/>
  <c r="M123" i="34"/>
  <c r="O122" i="34"/>
  <c r="M122" i="34"/>
  <c r="O121" i="34"/>
  <c r="M121" i="34"/>
  <c r="O120" i="34"/>
  <c r="M120" i="34"/>
  <c r="O119" i="34"/>
  <c r="M119" i="34"/>
  <c r="O118" i="34"/>
  <c r="M118" i="34"/>
  <c r="O117" i="34"/>
  <c r="M117" i="34"/>
  <c r="O116" i="34"/>
  <c r="M116" i="34"/>
  <c r="O115" i="34"/>
  <c r="M115" i="34"/>
  <c r="O114" i="34"/>
  <c r="M114" i="34"/>
  <c r="O113" i="34"/>
  <c r="M113" i="34"/>
  <c r="O112" i="34"/>
  <c r="M112" i="34"/>
  <c r="O111" i="34"/>
  <c r="M111" i="34"/>
  <c r="O110" i="34"/>
  <c r="M110" i="34"/>
  <c r="O109" i="34"/>
  <c r="M109" i="34"/>
  <c r="O108" i="34"/>
  <c r="M108" i="34"/>
  <c r="O107" i="34"/>
  <c r="M107" i="34"/>
  <c r="O106" i="34"/>
  <c r="M106" i="34"/>
  <c r="O105" i="34"/>
  <c r="M105" i="34"/>
  <c r="O104" i="34"/>
  <c r="M104" i="34"/>
  <c r="O103" i="34"/>
  <c r="M103" i="34"/>
  <c r="O102" i="34"/>
  <c r="M102" i="34"/>
  <c r="O100" i="34"/>
  <c r="D97" i="34"/>
  <c r="L94" i="34"/>
  <c r="J94" i="34"/>
  <c r="D92" i="34"/>
  <c r="D90" i="34"/>
  <c r="N71" i="34"/>
  <c r="L71" i="34"/>
  <c r="N70" i="34"/>
  <c r="L70" i="34"/>
  <c r="N69" i="34"/>
  <c r="L69" i="34"/>
  <c r="N68" i="34"/>
  <c r="L68" i="34"/>
  <c r="N67" i="34"/>
  <c r="L67" i="34"/>
  <c r="N66" i="34"/>
  <c r="L66" i="34"/>
  <c r="N65" i="34"/>
  <c r="L65" i="34"/>
  <c r="N64" i="34"/>
  <c r="L64" i="34"/>
  <c r="N63" i="34"/>
  <c r="L63" i="34"/>
  <c r="N62" i="34"/>
  <c r="L62" i="34"/>
  <c r="N61" i="34"/>
  <c r="L61" i="34"/>
  <c r="N60" i="34"/>
  <c r="L60" i="34"/>
  <c r="N59" i="34"/>
  <c r="L59" i="34"/>
  <c r="N58" i="34"/>
  <c r="L58" i="34"/>
  <c r="N57" i="34"/>
  <c r="L57" i="34"/>
  <c r="N56" i="34"/>
  <c r="L56" i="34"/>
  <c r="N55" i="34"/>
  <c r="L55" i="34"/>
  <c r="N54" i="34"/>
  <c r="L54" i="34"/>
  <c r="N53" i="34"/>
  <c r="L53" i="34"/>
  <c r="N52" i="34"/>
  <c r="L52" i="34"/>
  <c r="N51" i="34"/>
  <c r="L51" i="34"/>
  <c r="N50" i="34"/>
  <c r="L50" i="34"/>
  <c r="N49" i="34"/>
  <c r="L49" i="34"/>
  <c r="N48" i="34"/>
  <c r="L48" i="34"/>
  <c r="N47" i="34"/>
  <c r="L47" i="34"/>
  <c r="N46" i="34"/>
  <c r="L46" i="34"/>
  <c r="N45" i="34"/>
  <c r="L45" i="34"/>
  <c r="N44" i="34"/>
  <c r="L44" i="34"/>
  <c r="N43" i="34"/>
  <c r="L43" i="34"/>
  <c r="N42" i="34"/>
  <c r="L42" i="34"/>
  <c r="N41" i="34"/>
  <c r="L41" i="34"/>
  <c r="N40" i="34"/>
  <c r="L40" i="34"/>
  <c r="N39" i="34"/>
  <c r="L39" i="34"/>
  <c r="N38" i="34"/>
  <c r="L38" i="34"/>
  <c r="N37" i="34"/>
  <c r="L37" i="34"/>
  <c r="N36" i="34"/>
  <c r="L36" i="34"/>
  <c r="N35" i="34"/>
  <c r="L35" i="34"/>
  <c r="N34" i="34"/>
  <c r="L34" i="34"/>
  <c r="N33" i="34"/>
  <c r="L33" i="34"/>
  <c r="N32" i="34"/>
  <c r="L32" i="34"/>
  <c r="N31" i="34"/>
  <c r="L31" i="34"/>
  <c r="N30" i="34"/>
  <c r="L30" i="34"/>
  <c r="N29" i="34"/>
  <c r="L29" i="34"/>
  <c r="N28" i="34"/>
  <c r="L28" i="34"/>
  <c r="N27" i="34"/>
  <c r="L27" i="34"/>
  <c r="N26" i="34"/>
  <c r="L26" i="34"/>
  <c r="N25" i="34"/>
  <c r="L25" i="34"/>
  <c r="N24" i="34"/>
  <c r="L24" i="34"/>
  <c r="N23" i="34"/>
  <c r="L23" i="34"/>
  <c r="N22" i="34"/>
  <c r="L22" i="34"/>
  <c r="N21" i="34"/>
  <c r="L21" i="34"/>
  <c r="N20" i="34"/>
  <c r="L20" i="34"/>
  <c r="L18" i="34"/>
  <c r="L17" i="34"/>
  <c r="C17" i="34"/>
  <c r="C18" i="34"/>
  <c r="C19" i="34" s="1"/>
  <c r="C20" i="34" s="1"/>
  <c r="C21" i="34" s="1"/>
  <c r="C22" i="34" s="1"/>
  <c r="C23" i="34" s="1"/>
  <c r="C24" i="34" s="1"/>
  <c r="C25" i="34" s="1"/>
  <c r="C26" i="34" s="1"/>
  <c r="C27" i="34" s="1"/>
  <c r="C28" i="34" s="1"/>
  <c r="C29" i="34" s="1"/>
  <c r="C30" i="34" s="1"/>
  <c r="C31" i="34" s="1"/>
  <c r="C32" i="34" s="1"/>
  <c r="C33" i="34" s="1"/>
  <c r="C34" i="34" s="1"/>
  <c r="C35" i="34" s="1"/>
  <c r="C36" i="34" s="1"/>
  <c r="C37" i="34" s="1"/>
  <c r="C38" i="34" s="1"/>
  <c r="C39" i="34" s="1"/>
  <c r="C40" i="34" s="1"/>
  <c r="C41" i="34" s="1"/>
  <c r="C42" i="34" s="1"/>
  <c r="C43" i="34" s="1"/>
  <c r="C44" i="34" s="1"/>
  <c r="B17" i="34"/>
  <c r="K11" i="34"/>
  <c r="I11" i="34"/>
  <c r="D8" i="34"/>
  <c r="D91" i="34" s="1"/>
  <c r="B21" i="28"/>
  <c r="B22" i="19"/>
  <c r="D93" i="25"/>
  <c r="N102" i="28"/>
  <c r="L102" i="28"/>
  <c r="M102" i="28" s="1"/>
  <c r="N102" i="27"/>
  <c r="L102" i="27"/>
  <c r="M102" i="27"/>
  <c r="N101" i="26"/>
  <c r="L101" i="26"/>
  <c r="M101" i="26"/>
  <c r="N102" i="24"/>
  <c r="L102" i="24"/>
  <c r="M102" i="24"/>
  <c r="N100" i="25"/>
  <c r="L100" i="25"/>
  <c r="M100" i="25" s="1"/>
  <c r="L101" i="23"/>
  <c r="M101" i="23"/>
  <c r="N101" i="23"/>
  <c r="O101" i="23" s="1"/>
  <c r="L101" i="22"/>
  <c r="M101" i="22" s="1"/>
  <c r="N101" i="22"/>
  <c r="O101" i="22" s="1"/>
  <c r="P101" i="22" s="1"/>
  <c r="L102" i="21"/>
  <c r="M102" i="21"/>
  <c r="N102" i="21"/>
  <c r="L104" i="19"/>
  <c r="M104" i="19" s="1"/>
  <c r="N104" i="19"/>
  <c r="O104" i="19" s="1"/>
  <c r="L104" i="18"/>
  <c r="M104" i="18" s="1"/>
  <c r="N104" i="18"/>
  <c r="O104" i="18"/>
  <c r="P104" i="18" s="1"/>
  <c r="L105" i="3"/>
  <c r="M105" i="3" s="1"/>
  <c r="N105" i="3"/>
  <c r="O105" i="3" s="1"/>
  <c r="M17" i="29"/>
  <c r="L17" i="29"/>
  <c r="K20" i="28"/>
  <c r="L20" i="28" s="1"/>
  <c r="M20" i="28"/>
  <c r="K20" i="27"/>
  <c r="L20" i="27"/>
  <c r="M20" i="27"/>
  <c r="K19" i="26"/>
  <c r="L19" i="26"/>
  <c r="M19" i="26"/>
  <c r="K20" i="24"/>
  <c r="L20" i="24"/>
  <c r="M20" i="24"/>
  <c r="K18" i="25"/>
  <c r="L18" i="25" s="1"/>
  <c r="M18" i="25"/>
  <c r="K19" i="23"/>
  <c r="L19" i="23"/>
  <c r="M19" i="23"/>
  <c r="K19" i="22"/>
  <c r="L19" i="22" s="1"/>
  <c r="M19" i="22"/>
  <c r="K20" i="21"/>
  <c r="L20" i="21" s="1"/>
  <c r="M20" i="21"/>
  <c r="K22" i="19"/>
  <c r="L22" i="19" s="1"/>
  <c r="M22" i="19"/>
  <c r="K22" i="18"/>
  <c r="L22" i="18"/>
  <c r="M22" i="18"/>
  <c r="K23" i="4"/>
  <c r="L23" i="4"/>
  <c r="O23" i="4"/>
  <c r="M23" i="4"/>
  <c r="N23" i="4"/>
  <c r="K23" i="3"/>
  <c r="L23" i="3"/>
  <c r="M23" i="3"/>
  <c r="L32" i="29"/>
  <c r="N32" i="29"/>
  <c r="L33" i="29"/>
  <c r="N33" i="29"/>
  <c r="L32" i="28"/>
  <c r="N32" i="28"/>
  <c r="L33" i="28"/>
  <c r="N33" i="28"/>
  <c r="L32" i="27"/>
  <c r="N32" i="27"/>
  <c r="L33" i="27"/>
  <c r="N33" i="27"/>
  <c r="L32" i="26"/>
  <c r="N32" i="26"/>
  <c r="L33" i="26"/>
  <c r="N33" i="26"/>
  <c r="L32" i="24"/>
  <c r="N32" i="24"/>
  <c r="L33" i="24"/>
  <c r="N33" i="24"/>
  <c r="L32" i="25"/>
  <c r="N32" i="25"/>
  <c r="L33" i="25"/>
  <c r="N33" i="25"/>
  <c r="L32" i="23"/>
  <c r="N32" i="23"/>
  <c r="L33" i="23"/>
  <c r="N33" i="23"/>
  <c r="L32" i="22"/>
  <c r="N32" i="22"/>
  <c r="L32" i="21"/>
  <c r="N32" i="21"/>
  <c r="N32" i="20"/>
  <c r="L32" i="20"/>
  <c r="L31" i="19"/>
  <c r="N31" i="19"/>
  <c r="L32" i="19"/>
  <c r="N32" i="19"/>
  <c r="L33" i="19"/>
  <c r="N33" i="19"/>
  <c r="L31" i="18"/>
  <c r="N31" i="18"/>
  <c r="L32" i="18"/>
  <c r="N32" i="18"/>
  <c r="L33" i="18"/>
  <c r="N33" i="18"/>
  <c r="P1" i="31"/>
  <c r="P84" i="31" s="1"/>
  <c r="P1" i="29"/>
  <c r="P84" i="29" s="1"/>
  <c r="P1" i="28"/>
  <c r="P84" i="28" s="1"/>
  <c r="P1" i="27"/>
  <c r="P84" i="27" s="1"/>
  <c r="P1" i="26"/>
  <c r="P84" i="26" s="1"/>
  <c r="P1" i="24"/>
  <c r="P84" i="24" s="1"/>
  <c r="P1" i="25"/>
  <c r="P84" i="25" s="1"/>
  <c r="L105" i="4"/>
  <c r="M105" i="4"/>
  <c r="N105" i="4"/>
  <c r="O105" i="4"/>
  <c r="L104" i="3"/>
  <c r="M104" i="3"/>
  <c r="N23" i="3"/>
  <c r="N32" i="3"/>
  <c r="L32" i="3"/>
  <c r="L31" i="3"/>
  <c r="N31" i="3"/>
  <c r="L33" i="3"/>
  <c r="N33" i="3"/>
  <c r="L34" i="3"/>
  <c r="N34" i="3"/>
  <c r="L35" i="3"/>
  <c r="N35" i="3"/>
  <c r="L36" i="3"/>
  <c r="N36" i="3"/>
  <c r="L37" i="3"/>
  <c r="N37" i="3"/>
  <c r="L38" i="3"/>
  <c r="N38" i="3"/>
  <c r="L39" i="3"/>
  <c r="N39" i="3"/>
  <c r="L40" i="3"/>
  <c r="N40" i="3"/>
  <c r="L41" i="3"/>
  <c r="N41" i="3"/>
  <c r="L42" i="3"/>
  <c r="N42" i="3"/>
  <c r="L43" i="3"/>
  <c r="N43" i="3"/>
  <c r="N43" i="31"/>
  <c r="L43" i="31"/>
  <c r="N42" i="31"/>
  <c r="L42" i="31"/>
  <c r="N41" i="31"/>
  <c r="L41" i="31"/>
  <c r="N33" i="31"/>
  <c r="L33" i="31"/>
  <c r="N32" i="31"/>
  <c r="L32" i="31"/>
  <c r="D95" i="31"/>
  <c r="D94" i="31"/>
  <c r="M100" i="31"/>
  <c r="L17" i="31"/>
  <c r="O155" i="31"/>
  <c r="M155" i="31"/>
  <c r="O154" i="31"/>
  <c r="M154" i="31"/>
  <c r="O153" i="31"/>
  <c r="M153" i="31"/>
  <c r="O152" i="31"/>
  <c r="M152" i="31"/>
  <c r="O151" i="31"/>
  <c r="M151" i="31"/>
  <c r="O150" i="31"/>
  <c r="M150" i="31"/>
  <c r="O149" i="31"/>
  <c r="M149" i="31"/>
  <c r="O148" i="31"/>
  <c r="M148" i="31"/>
  <c r="O147" i="31"/>
  <c r="M147" i="31"/>
  <c r="O146" i="31"/>
  <c r="M146" i="31"/>
  <c r="O145" i="31"/>
  <c r="M145" i="31"/>
  <c r="O144" i="31"/>
  <c r="M144" i="31"/>
  <c r="O143" i="31"/>
  <c r="M143" i="31"/>
  <c r="O142" i="31"/>
  <c r="M142" i="31"/>
  <c r="O141" i="31"/>
  <c r="M141" i="31"/>
  <c r="O140" i="31"/>
  <c r="M140" i="31"/>
  <c r="O139" i="31"/>
  <c r="M139" i="31"/>
  <c r="O138" i="31"/>
  <c r="M138" i="31"/>
  <c r="O137" i="31"/>
  <c r="M137" i="31"/>
  <c r="O136" i="31"/>
  <c r="M136" i="31"/>
  <c r="O135" i="31"/>
  <c r="M135" i="31"/>
  <c r="O134" i="31"/>
  <c r="M134" i="31"/>
  <c r="O133" i="31"/>
  <c r="M133" i="31"/>
  <c r="O132" i="31"/>
  <c r="M132" i="31"/>
  <c r="O131" i="31"/>
  <c r="M131" i="31"/>
  <c r="O130" i="31"/>
  <c r="M130" i="31"/>
  <c r="O129" i="31"/>
  <c r="M129" i="31"/>
  <c r="O128" i="31"/>
  <c r="M128" i="31"/>
  <c r="O127" i="31"/>
  <c r="M127" i="31"/>
  <c r="O126" i="31"/>
  <c r="M126" i="31"/>
  <c r="O125" i="31"/>
  <c r="M125" i="31"/>
  <c r="O124" i="31"/>
  <c r="M124" i="31"/>
  <c r="O123" i="31"/>
  <c r="M123" i="31"/>
  <c r="O122" i="31"/>
  <c r="M122" i="31"/>
  <c r="O121" i="31"/>
  <c r="M121" i="31"/>
  <c r="O120" i="31"/>
  <c r="M120" i="31"/>
  <c r="O119" i="31"/>
  <c r="M119" i="31"/>
  <c r="O118" i="31"/>
  <c r="M118" i="31"/>
  <c r="O117" i="31"/>
  <c r="M117" i="31"/>
  <c r="O116" i="31"/>
  <c r="M116" i="31"/>
  <c r="O115" i="31"/>
  <c r="M115" i="31"/>
  <c r="O114" i="31"/>
  <c r="M114" i="31"/>
  <c r="O113" i="31"/>
  <c r="M113" i="31"/>
  <c r="O112" i="31"/>
  <c r="M112" i="31"/>
  <c r="O111" i="31"/>
  <c r="M111" i="31"/>
  <c r="O110" i="31"/>
  <c r="M110" i="31"/>
  <c r="O109" i="31"/>
  <c r="M109" i="31"/>
  <c r="O108" i="31"/>
  <c r="M108" i="31"/>
  <c r="O107" i="31"/>
  <c r="M107" i="31"/>
  <c r="O106" i="31"/>
  <c r="M106" i="31"/>
  <c r="O105" i="31"/>
  <c r="M105" i="31"/>
  <c r="O104" i="31"/>
  <c r="M104" i="31"/>
  <c r="O103" i="31"/>
  <c r="M103" i="31"/>
  <c r="O102" i="31"/>
  <c r="M102" i="31"/>
  <c r="D97" i="31"/>
  <c r="L94" i="31"/>
  <c r="J94" i="31"/>
  <c r="D90" i="31"/>
  <c r="N73" i="31"/>
  <c r="L73" i="31"/>
  <c r="N72" i="31"/>
  <c r="L72" i="31"/>
  <c r="N71" i="31"/>
  <c r="L71" i="31"/>
  <c r="N70" i="31"/>
  <c r="L70" i="31"/>
  <c r="N69" i="31"/>
  <c r="L69" i="31"/>
  <c r="N68" i="31"/>
  <c r="L68" i="31"/>
  <c r="N67" i="31"/>
  <c r="L67" i="31"/>
  <c r="N66" i="31"/>
  <c r="L66" i="31"/>
  <c r="N65" i="31"/>
  <c r="L65" i="31"/>
  <c r="N64" i="31"/>
  <c r="L64" i="31"/>
  <c r="N63" i="31"/>
  <c r="L63" i="31"/>
  <c r="N62" i="31"/>
  <c r="L62" i="31"/>
  <c r="N61" i="31"/>
  <c r="L61" i="31"/>
  <c r="N60" i="31"/>
  <c r="L60" i="31"/>
  <c r="N59" i="31"/>
  <c r="L59" i="31"/>
  <c r="N58" i="31"/>
  <c r="L58" i="31"/>
  <c r="N57" i="31"/>
  <c r="L57" i="31"/>
  <c r="N56" i="31"/>
  <c r="L56" i="31"/>
  <c r="N55" i="31"/>
  <c r="L55" i="31"/>
  <c r="N54" i="31"/>
  <c r="L54" i="31"/>
  <c r="N53" i="31"/>
  <c r="L53" i="31"/>
  <c r="N52" i="31"/>
  <c r="L52" i="31"/>
  <c r="N51" i="31"/>
  <c r="L51" i="31"/>
  <c r="N50" i="31"/>
  <c r="L50" i="31"/>
  <c r="N49" i="31"/>
  <c r="L49" i="31"/>
  <c r="N48" i="31"/>
  <c r="L48" i="31"/>
  <c r="N47" i="31"/>
  <c r="L47" i="31"/>
  <c r="N46" i="31"/>
  <c r="L46" i="31"/>
  <c r="N45" i="31"/>
  <c r="L45" i="31"/>
  <c r="N44" i="31"/>
  <c r="L44" i="31"/>
  <c r="N40" i="31"/>
  <c r="L40" i="31"/>
  <c r="N39" i="31"/>
  <c r="L39" i="31"/>
  <c r="N38" i="31"/>
  <c r="L38" i="31"/>
  <c r="N37" i="31"/>
  <c r="L37" i="31"/>
  <c r="N36" i="31"/>
  <c r="L36" i="31"/>
  <c r="N35" i="31"/>
  <c r="L35" i="31"/>
  <c r="N34" i="31"/>
  <c r="L34" i="31"/>
  <c r="N31" i="31"/>
  <c r="L31" i="31"/>
  <c r="N30" i="31"/>
  <c r="L30" i="31"/>
  <c r="N29" i="31"/>
  <c r="L29" i="31"/>
  <c r="N28" i="31"/>
  <c r="L28" i="31"/>
  <c r="N27" i="31"/>
  <c r="L27" i="31"/>
  <c r="N26" i="31"/>
  <c r="L26" i="31"/>
  <c r="N25" i="31"/>
  <c r="L25" i="31"/>
  <c r="N24" i="31"/>
  <c r="L24" i="31"/>
  <c r="N23" i="31"/>
  <c r="L23" i="31"/>
  <c r="N22" i="31"/>
  <c r="L22" i="31"/>
  <c r="N21" i="31"/>
  <c r="L21" i="31"/>
  <c r="N20" i="31"/>
  <c r="L20" i="31"/>
  <c r="N17" i="31"/>
  <c r="O17" i="31"/>
  <c r="C17" i="31"/>
  <c r="C18" i="31" s="1"/>
  <c r="C19" i="31" s="1"/>
  <c r="C20" i="31" s="1"/>
  <c r="C21" i="31" s="1"/>
  <c r="C22" i="31" s="1"/>
  <c r="C23" i="31" s="1"/>
  <c r="C24" i="31" s="1"/>
  <c r="C25" i="31" s="1"/>
  <c r="C26" i="31" s="1"/>
  <c r="C27" i="31" s="1"/>
  <c r="C28" i="31" s="1"/>
  <c r="C29" i="31" s="1"/>
  <c r="C30" i="31" s="1"/>
  <c r="C31" i="31" s="1"/>
  <c r="C32" i="31" s="1"/>
  <c r="B17" i="31"/>
  <c r="K11" i="31"/>
  <c r="D8" i="31"/>
  <c r="D91" i="31" s="1"/>
  <c r="H3" i="31"/>
  <c r="P1" i="23"/>
  <c r="P84" i="23" s="1"/>
  <c r="P1" i="22"/>
  <c r="P84" i="22" s="1"/>
  <c r="F90" i="2"/>
  <c r="F86" i="1"/>
  <c r="F83" i="1"/>
  <c r="D10" i="19"/>
  <c r="D93" i="19"/>
  <c r="W31" i="17"/>
  <c r="P155" i="29"/>
  <c r="O155" i="29"/>
  <c r="M155" i="29"/>
  <c r="J155" i="29"/>
  <c r="P154" i="29"/>
  <c r="O154" i="29"/>
  <c r="M154" i="29"/>
  <c r="J154" i="29"/>
  <c r="P153" i="29"/>
  <c r="O153" i="29"/>
  <c r="M153" i="29"/>
  <c r="J153" i="29"/>
  <c r="P152" i="29"/>
  <c r="O152" i="29"/>
  <c r="M152" i="29"/>
  <c r="J152" i="29"/>
  <c r="P151" i="29"/>
  <c r="O151" i="29"/>
  <c r="M151" i="29"/>
  <c r="J151" i="29"/>
  <c r="P150" i="29"/>
  <c r="O150" i="29"/>
  <c r="M150" i="29"/>
  <c r="J150" i="29"/>
  <c r="P149" i="29"/>
  <c r="O149" i="29"/>
  <c r="M149" i="29"/>
  <c r="J149" i="29"/>
  <c r="P148" i="29"/>
  <c r="O148" i="29"/>
  <c r="M148" i="29"/>
  <c r="J148" i="29"/>
  <c r="P147" i="29"/>
  <c r="O147" i="29"/>
  <c r="M147" i="29"/>
  <c r="J147" i="29"/>
  <c r="P146" i="29"/>
  <c r="O146" i="29"/>
  <c r="M146" i="29"/>
  <c r="J146" i="29"/>
  <c r="P145" i="29"/>
  <c r="O145" i="29"/>
  <c r="M145" i="29"/>
  <c r="J145" i="29"/>
  <c r="P144" i="29"/>
  <c r="O144" i="29"/>
  <c r="M144" i="29"/>
  <c r="J144" i="29"/>
  <c r="P143" i="29"/>
  <c r="O143" i="29"/>
  <c r="M143" i="29"/>
  <c r="J143" i="29"/>
  <c r="P142" i="29"/>
  <c r="O142" i="29"/>
  <c r="M142" i="29"/>
  <c r="J142" i="29"/>
  <c r="P141" i="29"/>
  <c r="O141" i="29"/>
  <c r="M141" i="29"/>
  <c r="J141" i="29"/>
  <c r="P140" i="29"/>
  <c r="O140" i="29"/>
  <c r="M140" i="29"/>
  <c r="J140" i="29"/>
  <c r="P139" i="29"/>
  <c r="O139" i="29"/>
  <c r="M139" i="29"/>
  <c r="J139" i="29"/>
  <c r="P138" i="29"/>
  <c r="O138" i="29"/>
  <c r="M138" i="29"/>
  <c r="J138" i="29"/>
  <c r="P137" i="29"/>
  <c r="O137" i="29"/>
  <c r="M137" i="29"/>
  <c r="J137" i="29"/>
  <c r="P136" i="29"/>
  <c r="O136" i="29"/>
  <c r="M136" i="29"/>
  <c r="J136" i="29"/>
  <c r="P135" i="29"/>
  <c r="O135" i="29"/>
  <c r="M135" i="29"/>
  <c r="J135" i="29"/>
  <c r="P134" i="29"/>
  <c r="O134" i="29"/>
  <c r="M134" i="29"/>
  <c r="J134" i="29"/>
  <c r="P133" i="29"/>
  <c r="O133" i="29"/>
  <c r="M133" i="29"/>
  <c r="J133" i="29"/>
  <c r="P132" i="29"/>
  <c r="O132" i="29"/>
  <c r="M132" i="29"/>
  <c r="J132" i="29"/>
  <c r="O131" i="29"/>
  <c r="M131" i="29"/>
  <c r="O130" i="29"/>
  <c r="M130" i="29"/>
  <c r="O129" i="29"/>
  <c r="M129" i="29"/>
  <c r="O128" i="29"/>
  <c r="M128" i="29"/>
  <c r="O127" i="29"/>
  <c r="M127" i="29"/>
  <c r="O126" i="29"/>
  <c r="M126" i="29"/>
  <c r="O125" i="29"/>
  <c r="M125" i="29"/>
  <c r="O124" i="29"/>
  <c r="M124" i="29"/>
  <c r="O123" i="29"/>
  <c r="M123" i="29"/>
  <c r="O122" i="29"/>
  <c r="M122" i="29"/>
  <c r="O121" i="29"/>
  <c r="M121" i="29"/>
  <c r="O120" i="29"/>
  <c r="M120" i="29"/>
  <c r="O119" i="29"/>
  <c r="M119" i="29"/>
  <c r="O118" i="29"/>
  <c r="M118" i="29"/>
  <c r="O117" i="29"/>
  <c r="M117" i="29"/>
  <c r="O116" i="29"/>
  <c r="M116" i="29"/>
  <c r="O115" i="29"/>
  <c r="M115" i="29"/>
  <c r="O114" i="29"/>
  <c r="M114" i="29"/>
  <c r="O113" i="29"/>
  <c r="M113" i="29"/>
  <c r="O112" i="29"/>
  <c r="M112" i="29"/>
  <c r="O111" i="29"/>
  <c r="M111" i="29"/>
  <c r="O110" i="29"/>
  <c r="M110" i="29"/>
  <c r="O109" i="29"/>
  <c r="M109" i="29"/>
  <c r="O108" i="29"/>
  <c r="M108" i="29"/>
  <c r="O107" i="29"/>
  <c r="M107" i="29"/>
  <c r="O106" i="29"/>
  <c r="M106" i="29"/>
  <c r="O105" i="29"/>
  <c r="M105" i="29"/>
  <c r="O104" i="29"/>
  <c r="M104" i="29"/>
  <c r="O103" i="29"/>
  <c r="M103" i="29"/>
  <c r="O102" i="29"/>
  <c r="M102" i="29"/>
  <c r="O100" i="29"/>
  <c r="D97" i="29"/>
  <c r="L94" i="29"/>
  <c r="J94" i="29"/>
  <c r="D92" i="29"/>
  <c r="D90" i="29"/>
  <c r="N73" i="29"/>
  <c r="L73" i="29"/>
  <c r="N72" i="29"/>
  <c r="L72" i="29"/>
  <c r="N71" i="29"/>
  <c r="L71" i="29"/>
  <c r="N70" i="29"/>
  <c r="L70" i="29"/>
  <c r="N69" i="29"/>
  <c r="L69" i="29"/>
  <c r="N68" i="29"/>
  <c r="L68" i="29"/>
  <c r="N67" i="29"/>
  <c r="L67" i="29"/>
  <c r="N66" i="29"/>
  <c r="L66" i="29"/>
  <c r="N65" i="29"/>
  <c r="L65" i="29"/>
  <c r="N64" i="29"/>
  <c r="L64" i="29"/>
  <c r="N63" i="29"/>
  <c r="L63" i="29"/>
  <c r="N62" i="29"/>
  <c r="L62" i="29"/>
  <c r="N61" i="29"/>
  <c r="L61" i="29"/>
  <c r="N60" i="29"/>
  <c r="L60" i="29"/>
  <c r="N59" i="29"/>
  <c r="L59" i="29"/>
  <c r="N58" i="29"/>
  <c r="L58" i="29"/>
  <c r="N57" i="29"/>
  <c r="L57" i="29"/>
  <c r="N56" i="29"/>
  <c r="L56" i="29"/>
  <c r="N55" i="29"/>
  <c r="L55" i="29"/>
  <c r="N54" i="29"/>
  <c r="L54" i="29"/>
  <c r="N53" i="29"/>
  <c r="L53" i="29"/>
  <c r="N52" i="29"/>
  <c r="L52" i="29"/>
  <c r="N51" i="29"/>
  <c r="L51" i="29"/>
  <c r="N50" i="29"/>
  <c r="L50" i="29"/>
  <c r="N49" i="29"/>
  <c r="L49" i="29"/>
  <c r="N48" i="29"/>
  <c r="L48" i="29"/>
  <c r="N47" i="29"/>
  <c r="L47" i="29"/>
  <c r="N46" i="29"/>
  <c r="L46" i="29"/>
  <c r="N45" i="29"/>
  <c r="L45" i="29"/>
  <c r="N44" i="29"/>
  <c r="L44" i="29"/>
  <c r="N43" i="29"/>
  <c r="L43" i="29"/>
  <c r="N42" i="29"/>
  <c r="L42" i="29"/>
  <c r="N41" i="29"/>
  <c r="L41" i="29"/>
  <c r="N40" i="29"/>
  <c r="L40" i="29"/>
  <c r="N39" i="29"/>
  <c r="L39" i="29"/>
  <c r="N38" i="29"/>
  <c r="L38" i="29"/>
  <c r="N37" i="29"/>
  <c r="L37" i="29"/>
  <c r="N36" i="29"/>
  <c r="L36" i="29"/>
  <c r="N35" i="29"/>
  <c r="L35" i="29"/>
  <c r="N34" i="29"/>
  <c r="L34" i="29"/>
  <c r="N31" i="29"/>
  <c r="L31" i="29"/>
  <c r="N30" i="29"/>
  <c r="L30" i="29"/>
  <c r="N29" i="29"/>
  <c r="L29" i="29"/>
  <c r="N28" i="29"/>
  <c r="L28" i="29"/>
  <c r="N27" i="29"/>
  <c r="L27" i="29"/>
  <c r="N26" i="29"/>
  <c r="L26" i="29"/>
  <c r="N25" i="29"/>
  <c r="L25" i="29"/>
  <c r="N24" i="29"/>
  <c r="L24" i="29"/>
  <c r="N23" i="29"/>
  <c r="L23" i="29"/>
  <c r="N22" i="29"/>
  <c r="L22" i="29"/>
  <c r="N21" i="29"/>
  <c r="L21" i="29"/>
  <c r="N17" i="29"/>
  <c r="C17" i="29"/>
  <c r="C18" i="29"/>
  <c r="C19" i="29" s="1"/>
  <c r="C20" i="29" s="1"/>
  <c r="C21" i="29" s="1"/>
  <c r="C22" i="29" s="1"/>
  <c r="C23" i="29" s="1"/>
  <c r="C24" i="29"/>
  <c r="C25" i="29" s="1"/>
  <c r="C26" i="29" s="1"/>
  <c r="C27" i="29" s="1"/>
  <c r="C28" i="29" s="1"/>
  <c r="C29" i="29" s="1"/>
  <c r="C30" i="29" s="1"/>
  <c r="C31" i="29" s="1"/>
  <c r="C32" i="29" s="1"/>
  <c r="K11" i="29"/>
  <c r="I11" i="29"/>
  <c r="D8" i="29"/>
  <c r="D91" i="29" s="1"/>
  <c r="B100" i="22"/>
  <c r="B18" i="22"/>
  <c r="B17" i="22"/>
  <c r="B102" i="28"/>
  <c r="B20" i="28"/>
  <c r="B19" i="28"/>
  <c r="B18" i="28"/>
  <c r="B17" i="28"/>
  <c r="D95" i="28"/>
  <c r="D94" i="28"/>
  <c r="M19" i="28"/>
  <c r="N19" i="28"/>
  <c r="O19" i="28" s="1"/>
  <c r="K19" i="28"/>
  <c r="L19" i="28"/>
  <c r="D95" i="27"/>
  <c r="D94" i="27"/>
  <c r="B20" i="27"/>
  <c r="B19" i="27"/>
  <c r="B18" i="27"/>
  <c r="B17" i="27"/>
  <c r="M19" i="27"/>
  <c r="N19" i="27" s="1"/>
  <c r="O19" i="27" s="1"/>
  <c r="K19" i="27"/>
  <c r="L19" i="27" s="1"/>
  <c r="M18" i="27"/>
  <c r="N18" i="27" s="1"/>
  <c r="K18" i="27"/>
  <c r="L18" i="27" s="1"/>
  <c r="O18" i="27" s="1"/>
  <c r="B101" i="26"/>
  <c r="D95" i="26"/>
  <c r="D94" i="26"/>
  <c r="B18" i="26"/>
  <c r="B17" i="26"/>
  <c r="B20" i="24"/>
  <c r="B19" i="24"/>
  <c r="B18" i="24"/>
  <c r="B17" i="24"/>
  <c r="B19" i="26"/>
  <c r="M18" i="26"/>
  <c r="N18" i="26"/>
  <c r="O18" i="26"/>
  <c r="K18" i="26"/>
  <c r="L18" i="26"/>
  <c r="D95" i="24"/>
  <c r="D94" i="24"/>
  <c r="M19" i="24"/>
  <c r="N19" i="24" s="1"/>
  <c r="K19" i="24"/>
  <c r="L19" i="24"/>
  <c r="B17" i="25"/>
  <c r="B19" i="23"/>
  <c r="B18" i="23"/>
  <c r="B17" i="23"/>
  <c r="B18" i="25"/>
  <c r="M17" i="25"/>
  <c r="N17" i="25" s="1"/>
  <c r="K17" i="25"/>
  <c r="L17" i="25" s="1"/>
  <c r="N100" i="23"/>
  <c r="O100" i="23"/>
  <c r="P100" i="23" s="1"/>
  <c r="M100" i="23"/>
  <c r="L100" i="23"/>
  <c r="M18" i="23"/>
  <c r="N18" i="23"/>
  <c r="O18" i="23" s="1"/>
  <c r="L18" i="23"/>
  <c r="K18" i="23"/>
  <c r="B101" i="22"/>
  <c r="N100" i="22"/>
  <c r="O100" i="22" s="1"/>
  <c r="L100" i="22"/>
  <c r="M100" i="22"/>
  <c r="B102" i="27"/>
  <c r="B19" i="22"/>
  <c r="M18" i="22"/>
  <c r="N18" i="22" s="1"/>
  <c r="O18" i="22" s="1"/>
  <c r="K18" i="22"/>
  <c r="L18" i="22"/>
  <c r="M19" i="21"/>
  <c r="N19" i="21" s="1"/>
  <c r="K19" i="21"/>
  <c r="L19" i="21"/>
  <c r="N103" i="19"/>
  <c r="O103" i="19" s="1"/>
  <c r="L103" i="19"/>
  <c r="M103" i="19" s="1"/>
  <c r="M21" i="19"/>
  <c r="N21" i="19"/>
  <c r="O21" i="19"/>
  <c r="L21" i="19"/>
  <c r="K21" i="19"/>
  <c r="N103" i="18"/>
  <c r="O103" i="18"/>
  <c r="P103" i="18"/>
  <c r="L103" i="18"/>
  <c r="M103" i="18"/>
  <c r="M21" i="18"/>
  <c r="N21" i="18" s="1"/>
  <c r="O21" i="18" s="1"/>
  <c r="K21" i="18"/>
  <c r="L21" i="18"/>
  <c r="N104" i="4"/>
  <c r="O104" i="4" s="1"/>
  <c r="P104" i="4" s="1"/>
  <c r="L104" i="4"/>
  <c r="M104" i="4" s="1"/>
  <c r="M22" i="4"/>
  <c r="N22" i="4" s="1"/>
  <c r="O22" i="4" s="1"/>
  <c r="L22" i="4"/>
  <c r="K22" i="4"/>
  <c r="N104" i="3"/>
  <c r="O104" i="3" s="1"/>
  <c r="P104" i="3" s="1"/>
  <c r="M22" i="3"/>
  <c r="N22" i="3" s="1"/>
  <c r="O22" i="3" s="1"/>
  <c r="K22" i="3"/>
  <c r="L22" i="3" s="1"/>
  <c r="W30" i="17"/>
  <c r="W29" i="17"/>
  <c r="M18" i="28"/>
  <c r="N18" i="28"/>
  <c r="K18" i="28"/>
  <c r="L18" i="28" s="1"/>
  <c r="P155" i="28"/>
  <c r="O155" i="28"/>
  <c r="M155" i="28"/>
  <c r="P154" i="28"/>
  <c r="O154" i="28"/>
  <c r="M154" i="28"/>
  <c r="P153" i="28"/>
  <c r="O153" i="28"/>
  <c r="M153" i="28"/>
  <c r="P152" i="28"/>
  <c r="O152" i="28"/>
  <c r="M152" i="28"/>
  <c r="P151" i="28"/>
  <c r="O151" i="28"/>
  <c r="M151" i="28"/>
  <c r="P150" i="28"/>
  <c r="O150" i="28"/>
  <c r="M150" i="28"/>
  <c r="P149" i="28"/>
  <c r="O149" i="28"/>
  <c r="M149" i="28"/>
  <c r="P148" i="28"/>
  <c r="O148" i="28"/>
  <c r="M148" i="28"/>
  <c r="P147" i="28"/>
  <c r="O147" i="28"/>
  <c r="M147" i="28"/>
  <c r="P146" i="28"/>
  <c r="O146" i="28"/>
  <c r="M146" i="28"/>
  <c r="P145" i="28"/>
  <c r="O145" i="28"/>
  <c r="M145" i="28"/>
  <c r="P144" i="28"/>
  <c r="O144" i="28"/>
  <c r="M144" i="28"/>
  <c r="P143" i="28"/>
  <c r="O143" i="28"/>
  <c r="M143" i="28"/>
  <c r="P142" i="28"/>
  <c r="O142" i="28"/>
  <c r="M142" i="28"/>
  <c r="P141" i="28"/>
  <c r="O141" i="28"/>
  <c r="M141" i="28"/>
  <c r="P140" i="28"/>
  <c r="O140" i="28"/>
  <c r="M140" i="28"/>
  <c r="P139" i="28"/>
  <c r="O139" i="28"/>
  <c r="M139" i="28"/>
  <c r="P138" i="28"/>
  <c r="O138" i="28"/>
  <c r="M138" i="28"/>
  <c r="P137" i="28"/>
  <c r="O137" i="28"/>
  <c r="M137" i="28"/>
  <c r="P136" i="28"/>
  <c r="O136" i="28"/>
  <c r="M136" i="28"/>
  <c r="P135" i="28"/>
  <c r="O135" i="28"/>
  <c r="M135" i="28"/>
  <c r="P134" i="28"/>
  <c r="O134" i="28"/>
  <c r="M134" i="28"/>
  <c r="P133" i="28"/>
  <c r="O133" i="28"/>
  <c r="M133" i="28"/>
  <c r="P132" i="28"/>
  <c r="O132" i="28"/>
  <c r="M132" i="28"/>
  <c r="O131" i="28"/>
  <c r="M131" i="28"/>
  <c r="O130" i="28"/>
  <c r="M130" i="28"/>
  <c r="O129" i="28"/>
  <c r="M129" i="28"/>
  <c r="O128" i="28"/>
  <c r="M128" i="28"/>
  <c r="O127" i="28"/>
  <c r="M127" i="28"/>
  <c r="O126" i="28"/>
  <c r="M126" i="28"/>
  <c r="O125" i="28"/>
  <c r="M125" i="28"/>
  <c r="O124" i="28"/>
  <c r="M124" i="28"/>
  <c r="O123" i="28"/>
  <c r="M123" i="28"/>
  <c r="O122" i="28"/>
  <c r="M122" i="28"/>
  <c r="O121" i="28"/>
  <c r="M121" i="28"/>
  <c r="O120" i="28"/>
  <c r="M120" i="28"/>
  <c r="O119" i="28"/>
  <c r="M119" i="28"/>
  <c r="O118" i="28"/>
  <c r="M118" i="28"/>
  <c r="O117" i="28"/>
  <c r="M117" i="28"/>
  <c r="O116" i="28"/>
  <c r="M116" i="28"/>
  <c r="O115" i="28"/>
  <c r="M115" i="28"/>
  <c r="O114" i="28"/>
  <c r="M114" i="28"/>
  <c r="O113" i="28"/>
  <c r="M113" i="28"/>
  <c r="O112" i="28"/>
  <c r="M112" i="28"/>
  <c r="O111" i="28"/>
  <c r="M111" i="28"/>
  <c r="O110" i="28"/>
  <c r="M110" i="28"/>
  <c r="O109" i="28"/>
  <c r="M109" i="28"/>
  <c r="O108" i="28"/>
  <c r="M108" i="28"/>
  <c r="O107" i="28"/>
  <c r="M107" i="28"/>
  <c r="O106" i="28"/>
  <c r="M106" i="28"/>
  <c r="O102" i="28"/>
  <c r="P102" i="28"/>
  <c r="O101" i="28"/>
  <c r="P101" i="28" s="1"/>
  <c r="M101" i="28"/>
  <c r="O100" i="28"/>
  <c r="M100" i="28"/>
  <c r="C100" i="28"/>
  <c r="C101" i="28" s="1"/>
  <c r="C102" i="28" s="1"/>
  <c r="C103" i="28" s="1"/>
  <c r="C104" i="28" s="1"/>
  <c r="C105" i="28" s="1"/>
  <c r="C106" i="28" s="1"/>
  <c r="C107" i="28" s="1"/>
  <c r="C108" i="28" s="1"/>
  <c r="C109" i="28" s="1"/>
  <c r="C110" i="28" s="1"/>
  <c r="C111" i="28" s="1"/>
  <c r="C112" i="28" s="1"/>
  <c r="C113" i="28" s="1"/>
  <c r="C114" i="28" s="1"/>
  <c r="C115" i="28" s="1"/>
  <c r="C116" i="28" s="1"/>
  <c r="C117" i="28" s="1"/>
  <c r="C118" i="28" s="1"/>
  <c r="C119" i="28" s="1"/>
  <c r="C120" i="28" s="1"/>
  <c r="C121" i="28" s="1"/>
  <c r="C122" i="28" s="1"/>
  <c r="C123" i="28" s="1"/>
  <c r="C124" i="28" s="1"/>
  <c r="C125" i="28" s="1"/>
  <c r="C126" i="28" s="1"/>
  <c r="C127" i="28" s="1"/>
  <c r="C128" i="28" s="1"/>
  <c r="C129" i="28" s="1"/>
  <c r="C130" i="28" s="1"/>
  <c r="C131" i="28" s="1"/>
  <c r="C132" i="28" s="1"/>
  <c r="C133" i="28" s="1"/>
  <c r="C134" i="28" s="1"/>
  <c r="C135" i="28" s="1"/>
  <c r="C136" i="28" s="1"/>
  <c r="C137" i="28" s="1"/>
  <c r="C138" i="28" s="1"/>
  <c r="C139" i="28" s="1"/>
  <c r="C140" i="28" s="1"/>
  <c r="C141" i="28" s="1"/>
  <c r="C142" i="28" s="1"/>
  <c r="C143" i="28" s="1"/>
  <c r="C144" i="28" s="1"/>
  <c r="C145" i="28" s="1"/>
  <c r="C146" i="28" s="1"/>
  <c r="C147" i="28" s="1"/>
  <c r="C148" i="28" s="1"/>
  <c r="C149" i="28" s="1"/>
  <c r="C150" i="28" s="1"/>
  <c r="C151" i="28" s="1"/>
  <c r="C152" i="28" s="1"/>
  <c r="C153" i="28" s="1"/>
  <c r="C154" i="28" s="1"/>
  <c r="C155" i="28" s="1"/>
  <c r="D97" i="28"/>
  <c r="L94" i="28"/>
  <c r="J94" i="28"/>
  <c r="D92" i="28"/>
  <c r="D91" i="28"/>
  <c r="D90" i="28"/>
  <c r="N73" i="28"/>
  <c r="L73" i="28"/>
  <c r="N72" i="28"/>
  <c r="L72" i="28"/>
  <c r="N71" i="28"/>
  <c r="L71" i="28"/>
  <c r="N70" i="28"/>
  <c r="L70" i="28"/>
  <c r="N69" i="28"/>
  <c r="L69" i="28"/>
  <c r="N68" i="28"/>
  <c r="L68" i="28"/>
  <c r="N67" i="28"/>
  <c r="L67" i="28"/>
  <c r="N66" i="28"/>
  <c r="L66" i="28"/>
  <c r="N65" i="28"/>
  <c r="L65" i="28"/>
  <c r="N64" i="28"/>
  <c r="L64" i="28"/>
  <c r="N63" i="28"/>
  <c r="L63" i="28"/>
  <c r="N62" i="28"/>
  <c r="L62" i="28"/>
  <c r="N61" i="28"/>
  <c r="L61" i="28"/>
  <c r="N60" i="28"/>
  <c r="L60" i="28"/>
  <c r="N59" i="28"/>
  <c r="L59" i="28"/>
  <c r="N58" i="28"/>
  <c r="L58" i="28"/>
  <c r="N57" i="28"/>
  <c r="L57" i="28"/>
  <c r="N56" i="28"/>
  <c r="L56" i="28"/>
  <c r="N55" i="28"/>
  <c r="L55" i="28"/>
  <c r="N54" i="28"/>
  <c r="L54" i="28"/>
  <c r="N53" i="28"/>
  <c r="L53" i="28"/>
  <c r="N52" i="28"/>
  <c r="L52" i="28"/>
  <c r="N51" i="28"/>
  <c r="L51" i="28"/>
  <c r="N50" i="28"/>
  <c r="L50" i="28"/>
  <c r="N49" i="28"/>
  <c r="L49" i="28"/>
  <c r="N48" i="28"/>
  <c r="L48" i="28"/>
  <c r="N47" i="28"/>
  <c r="L47" i="28"/>
  <c r="N46" i="28"/>
  <c r="L46" i="28"/>
  <c r="N45" i="28"/>
  <c r="L45" i="28"/>
  <c r="N44" i="28"/>
  <c r="L44" i="28"/>
  <c r="N43" i="28"/>
  <c r="L43" i="28"/>
  <c r="N42" i="28"/>
  <c r="L42" i="28"/>
  <c r="N41" i="28"/>
  <c r="L41" i="28"/>
  <c r="N40" i="28"/>
  <c r="L40" i="28"/>
  <c r="N39" i="28"/>
  <c r="L39" i="28"/>
  <c r="N38" i="28"/>
  <c r="L38" i="28"/>
  <c r="N37" i="28"/>
  <c r="L37" i="28"/>
  <c r="N36" i="28"/>
  <c r="L36" i="28"/>
  <c r="N35" i="28"/>
  <c r="L35" i="28"/>
  <c r="N34" i="28"/>
  <c r="L34" i="28"/>
  <c r="N31" i="28"/>
  <c r="L31" i="28"/>
  <c r="N30" i="28"/>
  <c r="L30" i="28"/>
  <c r="N29" i="28"/>
  <c r="L29" i="28"/>
  <c r="N28" i="28"/>
  <c r="L28" i="28"/>
  <c r="N27" i="28"/>
  <c r="L27" i="28"/>
  <c r="N26" i="28"/>
  <c r="L26" i="28"/>
  <c r="N25" i="28"/>
  <c r="L25" i="28"/>
  <c r="N24" i="28"/>
  <c r="L24" i="28"/>
  <c r="N23" i="28"/>
  <c r="L23" i="28"/>
  <c r="N20" i="28"/>
  <c r="C17" i="28"/>
  <c r="C18" i="28"/>
  <c r="C19" i="28"/>
  <c r="C20" i="28"/>
  <c r="C21" i="28" s="1"/>
  <c r="C22" i="28" s="1"/>
  <c r="C23" i="28" s="1"/>
  <c r="C24" i="28" s="1"/>
  <c r="C25" i="28" s="1"/>
  <c r="C26" i="28" s="1"/>
  <c r="C27" i="28" s="1"/>
  <c r="C28" i="28" s="1"/>
  <c r="C29" i="28" s="1"/>
  <c r="C30" i="28" s="1"/>
  <c r="C31" i="28" s="1"/>
  <c r="C32" i="28" s="1"/>
  <c r="K11" i="28"/>
  <c r="I11" i="28"/>
  <c r="M17" i="27"/>
  <c r="N17" i="27" s="1"/>
  <c r="O17" i="27" s="1"/>
  <c r="K17" i="27"/>
  <c r="L17" i="27"/>
  <c r="M17" i="26"/>
  <c r="N17" i="26" s="1"/>
  <c r="K17" i="26"/>
  <c r="L17" i="26"/>
  <c r="M18" i="24"/>
  <c r="N18" i="24" s="1"/>
  <c r="O18" i="24" s="1"/>
  <c r="K18" i="24"/>
  <c r="L18" i="24" s="1"/>
  <c r="M17" i="24"/>
  <c r="N17" i="24" s="1"/>
  <c r="O17" i="24" s="1"/>
  <c r="K17" i="24"/>
  <c r="L17" i="24"/>
  <c r="N102" i="18"/>
  <c r="O102" i="18"/>
  <c r="L102" i="18"/>
  <c r="M102" i="18" s="1"/>
  <c r="P102" i="18" s="1"/>
  <c r="W26" i="17"/>
  <c r="W27" i="17"/>
  <c r="W28" i="17"/>
  <c r="P155" i="27"/>
  <c r="O155" i="27"/>
  <c r="M155" i="27"/>
  <c r="P154" i="27"/>
  <c r="O154" i="27"/>
  <c r="M154" i="27"/>
  <c r="P153" i="27"/>
  <c r="O153" i="27"/>
  <c r="M153" i="27"/>
  <c r="P152" i="27"/>
  <c r="O152" i="27"/>
  <c r="M152" i="27"/>
  <c r="P151" i="27"/>
  <c r="O151" i="27"/>
  <c r="M151" i="27"/>
  <c r="P150" i="27"/>
  <c r="O150" i="27"/>
  <c r="M150" i="27"/>
  <c r="P149" i="27"/>
  <c r="O149" i="27"/>
  <c r="M149" i="27"/>
  <c r="P148" i="27"/>
  <c r="O148" i="27"/>
  <c r="M148" i="27"/>
  <c r="P147" i="27"/>
  <c r="O147" i="27"/>
  <c r="M147" i="27"/>
  <c r="P146" i="27"/>
  <c r="O146" i="27"/>
  <c r="M146" i="27"/>
  <c r="P145" i="27"/>
  <c r="O145" i="27"/>
  <c r="M145" i="27"/>
  <c r="P144" i="27"/>
  <c r="O144" i="27"/>
  <c r="M144" i="27"/>
  <c r="P143" i="27"/>
  <c r="O143" i="27"/>
  <c r="M143" i="27"/>
  <c r="P142" i="27"/>
  <c r="O142" i="27"/>
  <c r="M142" i="27"/>
  <c r="P141" i="27"/>
  <c r="O141" i="27"/>
  <c r="M141" i="27"/>
  <c r="P140" i="27"/>
  <c r="O140" i="27"/>
  <c r="M140" i="27"/>
  <c r="P139" i="27"/>
  <c r="O139" i="27"/>
  <c r="M139" i="27"/>
  <c r="P138" i="27"/>
  <c r="O138" i="27"/>
  <c r="M138" i="27"/>
  <c r="P137" i="27"/>
  <c r="O137" i="27"/>
  <c r="M137" i="27"/>
  <c r="P136" i="27"/>
  <c r="O136" i="27"/>
  <c r="M136" i="27"/>
  <c r="P135" i="27"/>
  <c r="O135" i="27"/>
  <c r="M135" i="27"/>
  <c r="P134" i="27"/>
  <c r="O134" i="27"/>
  <c r="M134" i="27"/>
  <c r="P133" i="27"/>
  <c r="O133" i="27"/>
  <c r="M133" i="27"/>
  <c r="P132" i="27"/>
  <c r="O132" i="27"/>
  <c r="M132" i="27"/>
  <c r="O131" i="27"/>
  <c r="M131" i="27"/>
  <c r="O130" i="27"/>
  <c r="M130" i="27"/>
  <c r="O129" i="27"/>
  <c r="M129" i="27"/>
  <c r="O128" i="27"/>
  <c r="M128" i="27"/>
  <c r="O127" i="27"/>
  <c r="M127" i="27"/>
  <c r="O126" i="27"/>
  <c r="M126" i="27"/>
  <c r="O125" i="27"/>
  <c r="M125" i="27"/>
  <c r="O124" i="27"/>
  <c r="M124" i="27"/>
  <c r="O123" i="27"/>
  <c r="M123" i="27"/>
  <c r="O122" i="27"/>
  <c r="M122" i="27"/>
  <c r="O121" i="27"/>
  <c r="M121" i="27"/>
  <c r="O120" i="27"/>
  <c r="M120" i="27"/>
  <c r="O119" i="27"/>
  <c r="M119" i="27"/>
  <c r="O118" i="27"/>
  <c r="M118" i="27"/>
  <c r="O117" i="27"/>
  <c r="M117" i="27"/>
  <c r="O116" i="27"/>
  <c r="M116" i="27"/>
  <c r="O115" i="27"/>
  <c r="M115" i="27"/>
  <c r="O114" i="27"/>
  <c r="M114" i="27"/>
  <c r="O113" i="27"/>
  <c r="M113" i="27"/>
  <c r="O112" i="27"/>
  <c r="M112" i="27"/>
  <c r="O111" i="27"/>
  <c r="M111" i="27"/>
  <c r="O110" i="27"/>
  <c r="M110" i="27"/>
  <c r="O109" i="27"/>
  <c r="M109" i="27"/>
  <c r="O108" i="27"/>
  <c r="M108" i="27"/>
  <c r="O107" i="27"/>
  <c r="M107" i="27"/>
  <c r="O106" i="27"/>
  <c r="M106" i="27"/>
  <c r="O102" i="27"/>
  <c r="O101" i="27"/>
  <c r="M101" i="27"/>
  <c r="O100" i="27"/>
  <c r="M100" i="27"/>
  <c r="P100" i="27" s="1"/>
  <c r="D97" i="27"/>
  <c r="L94" i="27"/>
  <c r="J94" i="27"/>
  <c r="D92" i="27"/>
  <c r="D90" i="27"/>
  <c r="N73" i="27"/>
  <c r="L73" i="27"/>
  <c r="N72" i="27"/>
  <c r="L72" i="27"/>
  <c r="N71" i="27"/>
  <c r="L71" i="27"/>
  <c r="N70" i="27"/>
  <c r="L70" i="27"/>
  <c r="N69" i="27"/>
  <c r="L69" i="27"/>
  <c r="N68" i="27"/>
  <c r="L68" i="27"/>
  <c r="N67" i="27"/>
  <c r="L67" i="27"/>
  <c r="N66" i="27"/>
  <c r="L66" i="27"/>
  <c r="N65" i="27"/>
  <c r="L65" i="27"/>
  <c r="N64" i="27"/>
  <c r="L64" i="27"/>
  <c r="N63" i="27"/>
  <c r="L63" i="27"/>
  <c r="N62" i="27"/>
  <c r="L62" i="27"/>
  <c r="N61" i="27"/>
  <c r="L61" i="27"/>
  <c r="N60" i="27"/>
  <c r="L60" i="27"/>
  <c r="N59" i="27"/>
  <c r="L59" i="27"/>
  <c r="N58" i="27"/>
  <c r="L58" i="27"/>
  <c r="N57" i="27"/>
  <c r="L57" i="27"/>
  <c r="N56" i="27"/>
  <c r="L56" i="27"/>
  <c r="N55" i="27"/>
  <c r="L55" i="27"/>
  <c r="N54" i="27"/>
  <c r="L54" i="27"/>
  <c r="N53" i="27"/>
  <c r="L53" i="27"/>
  <c r="N52" i="27"/>
  <c r="L52" i="27"/>
  <c r="N51" i="27"/>
  <c r="L51" i="27"/>
  <c r="N50" i="27"/>
  <c r="L50" i="27"/>
  <c r="N49" i="27"/>
  <c r="L49" i="27"/>
  <c r="N48" i="27"/>
  <c r="L48" i="27"/>
  <c r="N47" i="27"/>
  <c r="L47" i="27"/>
  <c r="N46" i="27"/>
  <c r="L46" i="27"/>
  <c r="N45" i="27"/>
  <c r="L45" i="27"/>
  <c r="N44" i="27"/>
  <c r="L44" i="27"/>
  <c r="N43" i="27"/>
  <c r="L43" i="27"/>
  <c r="N42" i="27"/>
  <c r="L42" i="27"/>
  <c r="N41" i="27"/>
  <c r="L41" i="27"/>
  <c r="N40" i="27"/>
  <c r="L40" i="27"/>
  <c r="N39" i="27"/>
  <c r="L39" i="27"/>
  <c r="N38" i="27"/>
  <c r="L38" i="27"/>
  <c r="N37" i="27"/>
  <c r="L37" i="27"/>
  <c r="N36" i="27"/>
  <c r="L36" i="27"/>
  <c r="N35" i="27"/>
  <c r="L35" i="27"/>
  <c r="N34" i="27"/>
  <c r="L34" i="27"/>
  <c r="N31" i="27"/>
  <c r="L31" i="27"/>
  <c r="N30" i="27"/>
  <c r="L30" i="27"/>
  <c r="N29" i="27"/>
  <c r="L29" i="27"/>
  <c r="N28" i="27"/>
  <c r="L28" i="27"/>
  <c r="N27" i="27"/>
  <c r="L27" i="27"/>
  <c r="N26" i="27"/>
  <c r="L26" i="27"/>
  <c r="N25" i="27"/>
  <c r="L25" i="27"/>
  <c r="N24" i="27"/>
  <c r="L24" i="27"/>
  <c r="N20" i="27"/>
  <c r="C17" i="27"/>
  <c r="C18" i="27"/>
  <c r="C19" i="27" s="1"/>
  <c r="C20" i="27" s="1"/>
  <c r="C21" i="27" s="1"/>
  <c r="C22" i="27" s="1"/>
  <c r="C23" i="27" s="1"/>
  <c r="C24" i="27" s="1"/>
  <c r="C25" i="27" s="1"/>
  <c r="C26" i="27" s="1"/>
  <c r="C27" i="27" s="1"/>
  <c r="C28" i="27" s="1"/>
  <c r="C29" i="27" s="1"/>
  <c r="C30" i="27" s="1"/>
  <c r="C31" i="27" s="1"/>
  <c r="C32" i="27" s="1"/>
  <c r="K11" i="27"/>
  <c r="I11" i="27"/>
  <c r="D91" i="27"/>
  <c r="P155" i="26"/>
  <c r="O155" i="26"/>
  <c r="M155" i="26"/>
  <c r="P154" i="26"/>
  <c r="O154" i="26"/>
  <c r="M154" i="26"/>
  <c r="P153" i="26"/>
  <c r="O153" i="26"/>
  <c r="M153" i="26"/>
  <c r="P152" i="26"/>
  <c r="O152" i="26"/>
  <c r="M152" i="26"/>
  <c r="P151" i="26"/>
  <c r="O151" i="26"/>
  <c r="M151" i="26"/>
  <c r="P150" i="26"/>
  <c r="O150" i="26"/>
  <c r="M150" i="26"/>
  <c r="P149" i="26"/>
  <c r="O149" i="26"/>
  <c r="M149" i="26"/>
  <c r="P148" i="26"/>
  <c r="O148" i="26"/>
  <c r="M148" i="26"/>
  <c r="P147" i="26"/>
  <c r="O147" i="26"/>
  <c r="M147" i="26"/>
  <c r="P146" i="26"/>
  <c r="O146" i="26"/>
  <c r="M146" i="26"/>
  <c r="P145" i="26"/>
  <c r="O145" i="26"/>
  <c r="M145" i="26"/>
  <c r="P144" i="26"/>
  <c r="O144" i="26"/>
  <c r="M144" i="26"/>
  <c r="P143" i="26"/>
  <c r="O143" i="26"/>
  <c r="M143" i="26"/>
  <c r="P142" i="26"/>
  <c r="O142" i="26"/>
  <c r="M142" i="26"/>
  <c r="P141" i="26"/>
  <c r="O141" i="26"/>
  <c r="M141" i="26"/>
  <c r="P140" i="26"/>
  <c r="O140" i="26"/>
  <c r="M140" i="26"/>
  <c r="P139" i="26"/>
  <c r="O139" i="26"/>
  <c r="M139" i="26"/>
  <c r="P138" i="26"/>
  <c r="O138" i="26"/>
  <c r="M138" i="26"/>
  <c r="P137" i="26"/>
  <c r="O137" i="26"/>
  <c r="M137" i="26"/>
  <c r="P136" i="26"/>
  <c r="O136" i="26"/>
  <c r="M136" i="26"/>
  <c r="P135" i="26"/>
  <c r="O135" i="26"/>
  <c r="M135" i="26"/>
  <c r="P134" i="26"/>
  <c r="O134" i="26"/>
  <c r="M134" i="26"/>
  <c r="P133" i="26"/>
  <c r="O133" i="26"/>
  <c r="M133" i="26"/>
  <c r="P132" i="26"/>
  <c r="O132" i="26"/>
  <c r="M132" i="26"/>
  <c r="O131" i="26"/>
  <c r="M131" i="26"/>
  <c r="O130" i="26"/>
  <c r="M130" i="26"/>
  <c r="O129" i="26"/>
  <c r="M129" i="26"/>
  <c r="O128" i="26"/>
  <c r="M128" i="26"/>
  <c r="O127" i="26"/>
  <c r="M127" i="26"/>
  <c r="O126" i="26"/>
  <c r="M126" i="26"/>
  <c r="O125" i="26"/>
  <c r="M125" i="26"/>
  <c r="O124" i="26"/>
  <c r="M124" i="26"/>
  <c r="O123" i="26"/>
  <c r="M123" i="26"/>
  <c r="O122" i="26"/>
  <c r="M122" i="26"/>
  <c r="O121" i="26"/>
  <c r="M121" i="26"/>
  <c r="O120" i="26"/>
  <c r="M120" i="26"/>
  <c r="O119" i="26"/>
  <c r="M119" i="26"/>
  <c r="O118" i="26"/>
  <c r="M118" i="26"/>
  <c r="O117" i="26"/>
  <c r="M117" i="26"/>
  <c r="O116" i="26"/>
  <c r="M116" i="26"/>
  <c r="O115" i="26"/>
  <c r="M115" i="26"/>
  <c r="O114" i="26"/>
  <c r="M114" i="26"/>
  <c r="O113" i="26"/>
  <c r="M113" i="26"/>
  <c r="O112" i="26"/>
  <c r="M112" i="26"/>
  <c r="O111" i="26"/>
  <c r="M111" i="26"/>
  <c r="O110" i="26"/>
  <c r="M110" i="26"/>
  <c r="O109" i="26"/>
  <c r="M109" i="26"/>
  <c r="O108" i="26"/>
  <c r="M108" i="26"/>
  <c r="O107" i="26"/>
  <c r="M107" i="26"/>
  <c r="O106" i="26"/>
  <c r="M106" i="26"/>
  <c r="O105" i="26"/>
  <c r="M105" i="26"/>
  <c r="O101" i="26"/>
  <c r="P101" i="26"/>
  <c r="O100" i="26"/>
  <c r="M100" i="26"/>
  <c r="D97" i="26"/>
  <c r="L94" i="26"/>
  <c r="J94" i="26"/>
  <c r="D92" i="26"/>
  <c r="D91" i="26"/>
  <c r="D90" i="26"/>
  <c r="N73" i="26"/>
  <c r="L73" i="26"/>
  <c r="N72" i="26"/>
  <c r="L72" i="26"/>
  <c r="N71" i="26"/>
  <c r="L71" i="26"/>
  <c r="N70" i="26"/>
  <c r="L70" i="26"/>
  <c r="N69" i="26"/>
  <c r="L69" i="26"/>
  <c r="N68" i="26"/>
  <c r="L68" i="26"/>
  <c r="N67" i="26"/>
  <c r="L67" i="26"/>
  <c r="N66" i="26"/>
  <c r="L66" i="26"/>
  <c r="N65" i="26"/>
  <c r="L65" i="26"/>
  <c r="N64" i="26"/>
  <c r="L64" i="26"/>
  <c r="N63" i="26"/>
  <c r="L63" i="26"/>
  <c r="N62" i="26"/>
  <c r="L62" i="26"/>
  <c r="N61" i="26"/>
  <c r="L61" i="26"/>
  <c r="N60" i="26"/>
  <c r="L60" i="26"/>
  <c r="N59" i="26"/>
  <c r="L59" i="26"/>
  <c r="N58" i="26"/>
  <c r="L58" i="26"/>
  <c r="N57" i="26"/>
  <c r="L57" i="26"/>
  <c r="N56" i="26"/>
  <c r="L56" i="26"/>
  <c r="N55" i="26"/>
  <c r="L55" i="26"/>
  <c r="N54" i="26"/>
  <c r="L54" i="26"/>
  <c r="N53" i="26"/>
  <c r="L53" i="26"/>
  <c r="N52" i="26"/>
  <c r="L52" i="26"/>
  <c r="N51" i="26"/>
  <c r="L51" i="26"/>
  <c r="N50" i="26"/>
  <c r="L50" i="26"/>
  <c r="N49" i="26"/>
  <c r="L49" i="26"/>
  <c r="N48" i="26"/>
  <c r="L48" i="26"/>
  <c r="N47" i="26"/>
  <c r="L47" i="26"/>
  <c r="N46" i="26"/>
  <c r="L46" i="26"/>
  <c r="N45" i="26"/>
  <c r="L45" i="26"/>
  <c r="N44" i="26"/>
  <c r="L44" i="26"/>
  <c r="N43" i="26"/>
  <c r="L43" i="26"/>
  <c r="N42" i="26"/>
  <c r="L42" i="26"/>
  <c r="N41" i="26"/>
  <c r="L41" i="26"/>
  <c r="N40" i="26"/>
  <c r="L40" i="26"/>
  <c r="N39" i="26"/>
  <c r="L39" i="26"/>
  <c r="N38" i="26"/>
  <c r="L38" i="26"/>
  <c r="N37" i="26"/>
  <c r="L37" i="26"/>
  <c r="N36" i="26"/>
  <c r="L36" i="26"/>
  <c r="N35" i="26"/>
  <c r="L35" i="26"/>
  <c r="N34" i="26"/>
  <c r="L34" i="26"/>
  <c r="N31" i="26"/>
  <c r="L31" i="26"/>
  <c r="N30" i="26"/>
  <c r="L30" i="26"/>
  <c r="N29" i="26"/>
  <c r="L29" i="26"/>
  <c r="N28" i="26"/>
  <c r="L28" i="26"/>
  <c r="N27" i="26"/>
  <c r="L27" i="26"/>
  <c r="N26" i="26"/>
  <c r="L26" i="26"/>
  <c r="N25" i="26"/>
  <c r="L25" i="26"/>
  <c r="N24" i="26"/>
  <c r="L24" i="26"/>
  <c r="N23" i="26"/>
  <c r="L23" i="26"/>
  <c r="N19" i="26"/>
  <c r="C18" i="26"/>
  <c r="C19" i="26"/>
  <c r="C20" i="26" s="1"/>
  <c r="C21" i="26" s="1"/>
  <c r="C22" i="26" s="1"/>
  <c r="C23" i="26" s="1"/>
  <c r="C24" i="26" s="1"/>
  <c r="C25" i="26" s="1"/>
  <c r="C26" i="26" s="1"/>
  <c r="C27" i="26" s="1"/>
  <c r="C28" i="26" s="1"/>
  <c r="C29" i="26" s="1"/>
  <c r="C30" i="26" s="1"/>
  <c r="C31" i="26" s="1"/>
  <c r="C32" i="26" s="1"/>
  <c r="C17" i="26"/>
  <c r="K11" i="26"/>
  <c r="I11" i="26"/>
  <c r="P155" i="25"/>
  <c r="O155" i="25"/>
  <c r="M155" i="25"/>
  <c r="J155" i="25"/>
  <c r="P154" i="25"/>
  <c r="O154" i="25"/>
  <c r="M154" i="25"/>
  <c r="J154" i="25"/>
  <c r="P153" i="25"/>
  <c r="O153" i="25"/>
  <c r="M153" i="25"/>
  <c r="J153" i="25"/>
  <c r="P152" i="25"/>
  <c r="O152" i="25"/>
  <c r="M152" i="25"/>
  <c r="J152" i="25"/>
  <c r="P151" i="25"/>
  <c r="O151" i="25"/>
  <c r="M151" i="25"/>
  <c r="J151" i="25"/>
  <c r="P150" i="25"/>
  <c r="O150" i="25"/>
  <c r="M150" i="25"/>
  <c r="J150" i="25"/>
  <c r="P149" i="25"/>
  <c r="O149" i="25"/>
  <c r="M149" i="25"/>
  <c r="J149" i="25"/>
  <c r="P148" i="25"/>
  <c r="O148" i="25"/>
  <c r="M148" i="25"/>
  <c r="J148" i="25"/>
  <c r="P147" i="25"/>
  <c r="O147" i="25"/>
  <c r="M147" i="25"/>
  <c r="J147" i="25"/>
  <c r="P146" i="25"/>
  <c r="O146" i="25"/>
  <c r="M146" i="25"/>
  <c r="J146" i="25"/>
  <c r="P145" i="25"/>
  <c r="O145" i="25"/>
  <c r="M145" i="25"/>
  <c r="J145" i="25"/>
  <c r="P144" i="25"/>
  <c r="O144" i="25"/>
  <c r="M144" i="25"/>
  <c r="J144" i="25"/>
  <c r="P143" i="25"/>
  <c r="O143" i="25"/>
  <c r="M143" i="25"/>
  <c r="J143" i="25"/>
  <c r="P142" i="25"/>
  <c r="O142" i="25"/>
  <c r="M142" i="25"/>
  <c r="J142" i="25"/>
  <c r="P141" i="25"/>
  <c r="O141" i="25"/>
  <c r="M141" i="25"/>
  <c r="J141" i="25"/>
  <c r="P140" i="25"/>
  <c r="O140" i="25"/>
  <c r="M140" i="25"/>
  <c r="J140" i="25"/>
  <c r="P139" i="25"/>
  <c r="O139" i="25"/>
  <c r="M139" i="25"/>
  <c r="J139" i="25"/>
  <c r="P138" i="25"/>
  <c r="O138" i="25"/>
  <c r="M138" i="25"/>
  <c r="J138" i="25"/>
  <c r="P137" i="25"/>
  <c r="O137" i="25"/>
  <c r="M137" i="25"/>
  <c r="J137" i="25"/>
  <c r="P136" i="25"/>
  <c r="O136" i="25"/>
  <c r="M136" i="25"/>
  <c r="J136" i="25"/>
  <c r="P135" i="25"/>
  <c r="O135" i="25"/>
  <c r="M135" i="25"/>
  <c r="J135" i="25"/>
  <c r="P134" i="25"/>
  <c r="O134" i="25"/>
  <c r="M134" i="25"/>
  <c r="J134" i="25"/>
  <c r="P133" i="25"/>
  <c r="O133" i="25"/>
  <c r="M133" i="25"/>
  <c r="J133" i="25"/>
  <c r="P132" i="25"/>
  <c r="O132" i="25"/>
  <c r="M132" i="25"/>
  <c r="J132" i="25"/>
  <c r="O131" i="25"/>
  <c r="M131" i="25"/>
  <c r="O130" i="25"/>
  <c r="M130" i="25"/>
  <c r="O129" i="25"/>
  <c r="M129" i="25"/>
  <c r="O128" i="25"/>
  <c r="M128" i="25"/>
  <c r="O127" i="25"/>
  <c r="M127" i="25"/>
  <c r="O126" i="25"/>
  <c r="M126" i="25"/>
  <c r="O125" i="25"/>
  <c r="M125" i="25"/>
  <c r="O124" i="25"/>
  <c r="M124" i="25"/>
  <c r="O123" i="25"/>
  <c r="M123" i="25"/>
  <c r="O122" i="25"/>
  <c r="M122" i="25"/>
  <c r="O121" i="25"/>
  <c r="M121" i="25"/>
  <c r="O120" i="25"/>
  <c r="M120" i="25"/>
  <c r="O119" i="25"/>
  <c r="M119" i="25"/>
  <c r="O118" i="25"/>
  <c r="M118" i="25"/>
  <c r="O117" i="25"/>
  <c r="M117" i="25"/>
  <c r="O116" i="25"/>
  <c r="M116" i="25"/>
  <c r="O115" i="25"/>
  <c r="M115" i="25"/>
  <c r="O114" i="25"/>
  <c r="M114" i="25"/>
  <c r="O113" i="25"/>
  <c r="M113" i="25"/>
  <c r="O112" i="25"/>
  <c r="M112" i="25"/>
  <c r="O111" i="25"/>
  <c r="M111" i="25"/>
  <c r="O110" i="25"/>
  <c r="M110" i="25"/>
  <c r="O109" i="25"/>
  <c r="M109" i="25"/>
  <c r="O108" i="25"/>
  <c r="M108" i="25"/>
  <c r="O107" i="25"/>
  <c r="M107" i="25"/>
  <c r="O106" i="25"/>
  <c r="M106" i="25"/>
  <c r="O105" i="25"/>
  <c r="M105" i="25"/>
  <c r="O104" i="25"/>
  <c r="M104" i="25"/>
  <c r="O100" i="25"/>
  <c r="D97" i="25"/>
  <c r="L94" i="25"/>
  <c r="J94" i="25"/>
  <c r="D92" i="25"/>
  <c r="D90" i="25"/>
  <c r="N73" i="25"/>
  <c r="L73" i="25"/>
  <c r="N72" i="25"/>
  <c r="L72" i="25"/>
  <c r="N71" i="25"/>
  <c r="L71" i="25"/>
  <c r="N70" i="25"/>
  <c r="L70" i="25"/>
  <c r="N69" i="25"/>
  <c r="L69" i="25"/>
  <c r="N68" i="25"/>
  <c r="L68" i="25"/>
  <c r="N67" i="25"/>
  <c r="L67" i="25"/>
  <c r="N66" i="25"/>
  <c r="L66" i="25"/>
  <c r="N65" i="25"/>
  <c r="L65" i="25"/>
  <c r="N64" i="25"/>
  <c r="L64" i="25"/>
  <c r="N63" i="25"/>
  <c r="L63" i="25"/>
  <c r="N62" i="25"/>
  <c r="L62" i="25"/>
  <c r="N61" i="25"/>
  <c r="L61" i="25"/>
  <c r="N60" i="25"/>
  <c r="L60" i="25"/>
  <c r="N59" i="25"/>
  <c r="L59" i="25"/>
  <c r="N58" i="25"/>
  <c r="L58" i="25"/>
  <c r="N57" i="25"/>
  <c r="L57" i="25"/>
  <c r="N56" i="25"/>
  <c r="L56" i="25"/>
  <c r="N55" i="25"/>
  <c r="L55" i="25"/>
  <c r="N54" i="25"/>
  <c r="L54" i="25"/>
  <c r="N53" i="25"/>
  <c r="L53" i="25"/>
  <c r="N52" i="25"/>
  <c r="L52" i="25"/>
  <c r="N51" i="25"/>
  <c r="L51" i="25"/>
  <c r="N50" i="25"/>
  <c r="L50" i="25"/>
  <c r="N49" i="25"/>
  <c r="L49" i="25"/>
  <c r="N48" i="25"/>
  <c r="L48" i="25"/>
  <c r="N47" i="25"/>
  <c r="L47" i="25"/>
  <c r="N46" i="25"/>
  <c r="L46" i="25"/>
  <c r="N45" i="25"/>
  <c r="L45" i="25"/>
  <c r="N44" i="25"/>
  <c r="L44" i="25"/>
  <c r="N43" i="25"/>
  <c r="L43" i="25"/>
  <c r="N42" i="25"/>
  <c r="L42" i="25"/>
  <c r="N41" i="25"/>
  <c r="L41" i="25"/>
  <c r="N40" i="25"/>
  <c r="L40" i="25"/>
  <c r="N39" i="25"/>
  <c r="L39" i="25"/>
  <c r="N38" i="25"/>
  <c r="L38" i="25"/>
  <c r="N37" i="25"/>
  <c r="L37" i="25"/>
  <c r="N36" i="25"/>
  <c r="L36" i="25"/>
  <c r="N35" i="25"/>
  <c r="L35" i="25"/>
  <c r="N34" i="25"/>
  <c r="L34" i="25"/>
  <c r="N31" i="25"/>
  <c r="L31" i="25"/>
  <c r="N30" i="25"/>
  <c r="L30" i="25"/>
  <c r="N29" i="25"/>
  <c r="L29" i="25"/>
  <c r="N28" i="25"/>
  <c r="L28" i="25"/>
  <c r="N27" i="25"/>
  <c r="L27" i="25"/>
  <c r="N26" i="25"/>
  <c r="L26" i="25"/>
  <c r="N25" i="25"/>
  <c r="L25" i="25"/>
  <c r="N24" i="25"/>
  <c r="L24" i="25"/>
  <c r="N23" i="25"/>
  <c r="L23" i="25"/>
  <c r="N22" i="25"/>
  <c r="L22" i="25"/>
  <c r="N18" i="25"/>
  <c r="C18" i="25"/>
  <c r="C19" i="25" s="1"/>
  <c r="C20" i="25" s="1"/>
  <c r="C21" i="25" s="1"/>
  <c r="C22" i="25" s="1"/>
  <c r="C23" i="25" s="1"/>
  <c r="C24" i="25" s="1"/>
  <c r="C25" i="25" s="1"/>
  <c r="C26" i="25" s="1"/>
  <c r="C27" i="25" s="1"/>
  <c r="C28" i="25" s="1"/>
  <c r="C29" i="25" s="1"/>
  <c r="C30" i="25" s="1"/>
  <c r="C31" i="25" s="1"/>
  <c r="C32" i="25" s="1"/>
  <c r="C17" i="25"/>
  <c r="K11" i="25"/>
  <c r="I11" i="25"/>
  <c r="D8" i="25"/>
  <c r="D91" i="25" s="1"/>
  <c r="P155" i="24"/>
  <c r="O155" i="24"/>
  <c r="M155" i="24"/>
  <c r="P154" i="24"/>
  <c r="O154" i="24"/>
  <c r="M154" i="24"/>
  <c r="P153" i="24"/>
  <c r="O153" i="24"/>
  <c r="M153" i="24"/>
  <c r="P152" i="24"/>
  <c r="O152" i="24"/>
  <c r="M152" i="24"/>
  <c r="P151" i="24"/>
  <c r="O151" i="24"/>
  <c r="M151" i="24"/>
  <c r="P150" i="24"/>
  <c r="O150" i="24"/>
  <c r="M150" i="24"/>
  <c r="P149" i="24"/>
  <c r="O149" i="24"/>
  <c r="M149" i="24"/>
  <c r="P148" i="24"/>
  <c r="O148" i="24"/>
  <c r="M148" i="24"/>
  <c r="P147" i="24"/>
  <c r="O147" i="24"/>
  <c r="M147" i="24"/>
  <c r="P146" i="24"/>
  <c r="O146" i="24"/>
  <c r="M146" i="24"/>
  <c r="P145" i="24"/>
  <c r="O145" i="24"/>
  <c r="M145" i="24"/>
  <c r="P144" i="24"/>
  <c r="O144" i="24"/>
  <c r="M144" i="24"/>
  <c r="P143" i="24"/>
  <c r="O143" i="24"/>
  <c r="M143" i="24"/>
  <c r="P142" i="24"/>
  <c r="O142" i="24"/>
  <c r="M142" i="24"/>
  <c r="P141" i="24"/>
  <c r="O141" i="24"/>
  <c r="M141" i="24"/>
  <c r="P140" i="24"/>
  <c r="O140" i="24"/>
  <c r="M140" i="24"/>
  <c r="P139" i="24"/>
  <c r="O139" i="24"/>
  <c r="M139" i="24"/>
  <c r="P138" i="24"/>
  <c r="O138" i="24"/>
  <c r="M138" i="24"/>
  <c r="P137" i="24"/>
  <c r="O137" i="24"/>
  <c r="M137" i="24"/>
  <c r="P136" i="24"/>
  <c r="O136" i="24"/>
  <c r="M136" i="24"/>
  <c r="P135" i="24"/>
  <c r="O135" i="24"/>
  <c r="M135" i="24"/>
  <c r="P134" i="24"/>
  <c r="O134" i="24"/>
  <c r="M134" i="24"/>
  <c r="P133" i="24"/>
  <c r="O133" i="24"/>
  <c r="M133" i="24"/>
  <c r="P132" i="24"/>
  <c r="O132" i="24"/>
  <c r="M132" i="24"/>
  <c r="O131" i="24"/>
  <c r="M131" i="24"/>
  <c r="O130" i="24"/>
  <c r="M130" i="24"/>
  <c r="O129" i="24"/>
  <c r="M129" i="24"/>
  <c r="O128" i="24"/>
  <c r="M128" i="24"/>
  <c r="O127" i="24"/>
  <c r="M127" i="24"/>
  <c r="O126" i="24"/>
  <c r="M126" i="24"/>
  <c r="O125" i="24"/>
  <c r="M125" i="24"/>
  <c r="O124" i="24"/>
  <c r="M124" i="24"/>
  <c r="O123" i="24"/>
  <c r="M123" i="24"/>
  <c r="O122" i="24"/>
  <c r="M122" i="24"/>
  <c r="O121" i="24"/>
  <c r="M121" i="24"/>
  <c r="O120" i="24"/>
  <c r="M120" i="24"/>
  <c r="O119" i="24"/>
  <c r="M119" i="24"/>
  <c r="O118" i="24"/>
  <c r="M118" i="24"/>
  <c r="O117" i="24"/>
  <c r="M117" i="24"/>
  <c r="O116" i="24"/>
  <c r="M116" i="24"/>
  <c r="O115" i="24"/>
  <c r="M115" i="24"/>
  <c r="O114" i="24"/>
  <c r="M114" i="24"/>
  <c r="O113" i="24"/>
  <c r="M113" i="24"/>
  <c r="O112" i="24"/>
  <c r="M112" i="24"/>
  <c r="O111" i="24"/>
  <c r="M111" i="24"/>
  <c r="O110" i="24"/>
  <c r="M110" i="24"/>
  <c r="O109" i="24"/>
  <c r="M109" i="24"/>
  <c r="O108" i="24"/>
  <c r="M108" i="24"/>
  <c r="O107" i="24"/>
  <c r="M107" i="24"/>
  <c r="O106" i="24"/>
  <c r="M106" i="24"/>
  <c r="O102" i="24"/>
  <c r="O101" i="24"/>
  <c r="M101" i="24"/>
  <c r="O100" i="24"/>
  <c r="M100" i="24"/>
  <c r="D97" i="24"/>
  <c r="L94" i="24"/>
  <c r="J94" i="24"/>
  <c r="D92" i="24"/>
  <c r="D90" i="24"/>
  <c r="N73" i="24"/>
  <c r="L73" i="24"/>
  <c r="N72" i="24"/>
  <c r="L72" i="24"/>
  <c r="N71" i="24"/>
  <c r="L71" i="24"/>
  <c r="N70" i="24"/>
  <c r="L70" i="24"/>
  <c r="N69" i="24"/>
  <c r="L69" i="24"/>
  <c r="N68" i="24"/>
  <c r="L68" i="24"/>
  <c r="N67" i="24"/>
  <c r="L67" i="24"/>
  <c r="N66" i="24"/>
  <c r="L66" i="24"/>
  <c r="N65" i="24"/>
  <c r="L65" i="24"/>
  <c r="N64" i="24"/>
  <c r="L64" i="24"/>
  <c r="N63" i="24"/>
  <c r="L63" i="24"/>
  <c r="N62" i="24"/>
  <c r="L62" i="24"/>
  <c r="N61" i="24"/>
  <c r="L61" i="24"/>
  <c r="N60" i="24"/>
  <c r="L60" i="24"/>
  <c r="N59" i="24"/>
  <c r="L59" i="24"/>
  <c r="N58" i="24"/>
  <c r="L58" i="24"/>
  <c r="N57" i="24"/>
  <c r="L57" i="24"/>
  <c r="N56" i="24"/>
  <c r="L56" i="24"/>
  <c r="N55" i="24"/>
  <c r="L55" i="24"/>
  <c r="N54" i="24"/>
  <c r="L54" i="24"/>
  <c r="N53" i="24"/>
  <c r="L53" i="24"/>
  <c r="N52" i="24"/>
  <c r="L52" i="24"/>
  <c r="N51" i="24"/>
  <c r="L51" i="24"/>
  <c r="N50" i="24"/>
  <c r="L50" i="24"/>
  <c r="N49" i="24"/>
  <c r="L49" i="24"/>
  <c r="N48" i="24"/>
  <c r="L48" i="24"/>
  <c r="N47" i="24"/>
  <c r="L47" i="24"/>
  <c r="N46" i="24"/>
  <c r="L46" i="24"/>
  <c r="N45" i="24"/>
  <c r="L45" i="24"/>
  <c r="N44" i="24"/>
  <c r="L44" i="24"/>
  <c r="N43" i="24"/>
  <c r="L43" i="24"/>
  <c r="N42" i="24"/>
  <c r="L42" i="24"/>
  <c r="N41" i="24"/>
  <c r="L41" i="24"/>
  <c r="N40" i="24"/>
  <c r="L40" i="24"/>
  <c r="N39" i="24"/>
  <c r="L39" i="24"/>
  <c r="N38" i="24"/>
  <c r="L38" i="24"/>
  <c r="N37" i="24"/>
  <c r="L37" i="24"/>
  <c r="N36" i="24"/>
  <c r="L36" i="24"/>
  <c r="N35" i="24"/>
  <c r="L35" i="24"/>
  <c r="N34" i="24"/>
  <c r="L34" i="24"/>
  <c r="N31" i="24"/>
  <c r="L31" i="24"/>
  <c r="N30" i="24"/>
  <c r="L30" i="24"/>
  <c r="N29" i="24"/>
  <c r="L29" i="24"/>
  <c r="N28" i="24"/>
  <c r="L28" i="24"/>
  <c r="N27" i="24"/>
  <c r="L27" i="24"/>
  <c r="N26" i="24"/>
  <c r="L26" i="24"/>
  <c r="N25" i="24"/>
  <c r="L25" i="24"/>
  <c r="N24" i="24"/>
  <c r="L24" i="24"/>
  <c r="N20" i="24"/>
  <c r="C17" i="24"/>
  <c r="C18" i="24" s="1"/>
  <c r="C19" i="24" s="1"/>
  <c r="C20" i="24" s="1"/>
  <c r="C21" i="24" s="1"/>
  <c r="C22" i="24" s="1"/>
  <c r="C23" i="24" s="1"/>
  <c r="C24" i="24" s="1"/>
  <c r="C25" i="24" s="1"/>
  <c r="C26" i="24" s="1"/>
  <c r="C27" i="24" s="1"/>
  <c r="C28" i="24" s="1"/>
  <c r="C29" i="24" s="1"/>
  <c r="C30" i="24" s="1"/>
  <c r="C31" i="24" s="1"/>
  <c r="C32" i="24" s="1"/>
  <c r="K11" i="24"/>
  <c r="I11" i="24"/>
  <c r="D91" i="24"/>
  <c r="D93" i="21"/>
  <c r="M17" i="23"/>
  <c r="N17" i="23" s="1"/>
  <c r="O17" i="23" s="1"/>
  <c r="K17" i="23"/>
  <c r="L17" i="23" s="1"/>
  <c r="M17" i="22"/>
  <c r="N17" i="22"/>
  <c r="O17" i="22" s="1"/>
  <c r="K17" i="22"/>
  <c r="L17" i="22" s="1"/>
  <c r="N101" i="21"/>
  <c r="O101" i="21"/>
  <c r="L101" i="21"/>
  <c r="M101" i="21" s="1"/>
  <c r="M18" i="21"/>
  <c r="N18" i="21" s="1"/>
  <c r="O18" i="21" s="1"/>
  <c r="K18" i="21"/>
  <c r="L18" i="21"/>
  <c r="N102" i="19"/>
  <c r="O102" i="19" s="1"/>
  <c r="L102" i="19"/>
  <c r="M102" i="19"/>
  <c r="M20" i="19"/>
  <c r="N20" i="19" s="1"/>
  <c r="K20" i="19"/>
  <c r="L20" i="19"/>
  <c r="M20" i="18"/>
  <c r="N20" i="18" s="1"/>
  <c r="K20" i="18"/>
  <c r="L20" i="18"/>
  <c r="N103" i="4"/>
  <c r="O103" i="4" s="1"/>
  <c r="L103" i="4"/>
  <c r="M103" i="4" s="1"/>
  <c r="M21" i="4"/>
  <c r="N21" i="4" s="1"/>
  <c r="K21" i="4"/>
  <c r="L21" i="4"/>
  <c r="N103" i="3"/>
  <c r="O103" i="3" s="1"/>
  <c r="L103" i="3"/>
  <c r="M103" i="3" s="1"/>
  <c r="M21" i="3"/>
  <c r="N21" i="3" s="1"/>
  <c r="K21" i="3"/>
  <c r="L21" i="3"/>
  <c r="D8" i="23"/>
  <c r="D8" i="22"/>
  <c r="D91" i="22" s="1"/>
  <c r="D8" i="21"/>
  <c r="D8" i="19"/>
  <c r="D8" i="18"/>
  <c r="D91" i="18" s="1"/>
  <c r="D8" i="4"/>
  <c r="D8" i="3"/>
  <c r="D8" i="13"/>
  <c r="D91" i="13" s="1"/>
  <c r="W25" i="17"/>
  <c r="W24" i="17"/>
  <c r="P155" i="23"/>
  <c r="O155" i="23"/>
  <c r="M155" i="23"/>
  <c r="P154" i="23"/>
  <c r="O154" i="23"/>
  <c r="M154" i="23"/>
  <c r="P153" i="23"/>
  <c r="O153" i="23"/>
  <c r="M153" i="23"/>
  <c r="P152" i="23"/>
  <c r="O152" i="23"/>
  <c r="M152" i="23"/>
  <c r="P151" i="23"/>
  <c r="O151" i="23"/>
  <c r="M151" i="23"/>
  <c r="P150" i="23"/>
  <c r="O150" i="23"/>
  <c r="M150" i="23"/>
  <c r="P149" i="23"/>
  <c r="O149" i="23"/>
  <c r="M149" i="23"/>
  <c r="P148" i="23"/>
  <c r="O148" i="23"/>
  <c r="M148" i="23"/>
  <c r="P147" i="23"/>
  <c r="O147" i="23"/>
  <c r="M147" i="23"/>
  <c r="P146" i="23"/>
  <c r="O146" i="23"/>
  <c r="M146" i="23"/>
  <c r="P145" i="23"/>
  <c r="O145" i="23"/>
  <c r="M145" i="23"/>
  <c r="P144" i="23"/>
  <c r="O144" i="23"/>
  <c r="M144" i="23"/>
  <c r="P143" i="23"/>
  <c r="O143" i="23"/>
  <c r="M143" i="23"/>
  <c r="P142" i="23"/>
  <c r="O142" i="23"/>
  <c r="M142" i="23"/>
  <c r="P141" i="23"/>
  <c r="O141" i="23"/>
  <c r="M141" i="23"/>
  <c r="P140" i="23"/>
  <c r="O140" i="23"/>
  <c r="M140" i="23"/>
  <c r="P139" i="23"/>
  <c r="O139" i="23"/>
  <c r="M139" i="23"/>
  <c r="P138" i="23"/>
  <c r="O138" i="23"/>
  <c r="M138" i="23"/>
  <c r="P137" i="23"/>
  <c r="O137" i="23"/>
  <c r="M137" i="23"/>
  <c r="P136" i="23"/>
  <c r="O136" i="23"/>
  <c r="M136" i="23"/>
  <c r="P135" i="23"/>
  <c r="O135" i="23"/>
  <c r="M135" i="23"/>
  <c r="P134" i="23"/>
  <c r="O134" i="23"/>
  <c r="M134" i="23"/>
  <c r="P133" i="23"/>
  <c r="O133" i="23"/>
  <c r="M133" i="23"/>
  <c r="P132" i="23"/>
  <c r="O132" i="23"/>
  <c r="M132" i="23"/>
  <c r="O131" i="23"/>
  <c r="M131" i="23"/>
  <c r="O130" i="23"/>
  <c r="M130" i="23"/>
  <c r="O129" i="23"/>
  <c r="M129" i="23"/>
  <c r="O128" i="23"/>
  <c r="M128" i="23"/>
  <c r="O127" i="23"/>
  <c r="M127" i="23"/>
  <c r="O126" i="23"/>
  <c r="M126" i="23"/>
  <c r="O125" i="23"/>
  <c r="M125" i="23"/>
  <c r="O124" i="23"/>
  <c r="M124" i="23"/>
  <c r="O123" i="23"/>
  <c r="M123" i="23"/>
  <c r="O122" i="23"/>
  <c r="M122" i="23"/>
  <c r="O121" i="23"/>
  <c r="M121" i="23"/>
  <c r="O120" i="23"/>
  <c r="M120" i="23"/>
  <c r="O119" i="23"/>
  <c r="M119" i="23"/>
  <c r="O118" i="23"/>
  <c r="M118" i="23"/>
  <c r="O117" i="23"/>
  <c r="M117" i="23"/>
  <c r="O116" i="23"/>
  <c r="M116" i="23"/>
  <c r="O115" i="23"/>
  <c r="M115" i="23"/>
  <c r="O114" i="23"/>
  <c r="M114" i="23"/>
  <c r="O113" i="23"/>
  <c r="M113" i="23"/>
  <c r="O112" i="23"/>
  <c r="M112" i="23"/>
  <c r="O111" i="23"/>
  <c r="M111" i="23"/>
  <c r="O110" i="23"/>
  <c r="M110" i="23"/>
  <c r="O109" i="23"/>
  <c r="M109" i="23"/>
  <c r="O108" i="23"/>
  <c r="M108" i="23"/>
  <c r="O107" i="23"/>
  <c r="M107" i="23"/>
  <c r="O106" i="23"/>
  <c r="M106" i="23"/>
  <c r="O105" i="23"/>
  <c r="M105" i="23"/>
  <c r="D97" i="23"/>
  <c r="L94" i="23"/>
  <c r="J94" i="23"/>
  <c r="D92" i="23"/>
  <c r="D91" i="23"/>
  <c r="D90" i="23"/>
  <c r="N73" i="23"/>
  <c r="L73" i="23"/>
  <c r="N72" i="23"/>
  <c r="L72" i="23"/>
  <c r="N71" i="23"/>
  <c r="L71" i="23"/>
  <c r="N70" i="23"/>
  <c r="L70" i="23"/>
  <c r="N69" i="23"/>
  <c r="L69" i="23"/>
  <c r="N68" i="23"/>
  <c r="L68" i="23"/>
  <c r="N67" i="23"/>
  <c r="L67" i="23"/>
  <c r="N66" i="23"/>
  <c r="L66" i="23"/>
  <c r="N65" i="23"/>
  <c r="L65" i="23"/>
  <c r="N64" i="23"/>
  <c r="L64" i="23"/>
  <c r="N63" i="23"/>
  <c r="L63" i="23"/>
  <c r="N62" i="23"/>
  <c r="L62" i="23"/>
  <c r="N61" i="23"/>
  <c r="L61" i="23"/>
  <c r="N60" i="23"/>
  <c r="L60" i="23"/>
  <c r="N59" i="23"/>
  <c r="L59" i="23"/>
  <c r="N58" i="23"/>
  <c r="L58" i="23"/>
  <c r="N57" i="23"/>
  <c r="L57" i="23"/>
  <c r="N56" i="23"/>
  <c r="L56" i="23"/>
  <c r="N55" i="23"/>
  <c r="L55" i="23"/>
  <c r="N54" i="23"/>
  <c r="L54" i="23"/>
  <c r="N53" i="23"/>
  <c r="L53" i="23"/>
  <c r="N52" i="23"/>
  <c r="L52" i="23"/>
  <c r="N51" i="23"/>
  <c r="L51" i="23"/>
  <c r="N50" i="23"/>
  <c r="L50" i="23"/>
  <c r="N49" i="23"/>
  <c r="L49" i="23"/>
  <c r="N48" i="23"/>
  <c r="L48" i="23"/>
  <c r="N47" i="23"/>
  <c r="L47" i="23"/>
  <c r="N46" i="23"/>
  <c r="L46" i="23"/>
  <c r="N45" i="23"/>
  <c r="L45" i="23"/>
  <c r="N44" i="23"/>
  <c r="L44" i="23"/>
  <c r="N43" i="23"/>
  <c r="L43" i="23"/>
  <c r="N42" i="23"/>
  <c r="L42" i="23"/>
  <c r="N41" i="23"/>
  <c r="L41" i="23"/>
  <c r="N40" i="23"/>
  <c r="L40" i="23"/>
  <c r="N39" i="23"/>
  <c r="L39" i="23"/>
  <c r="N38" i="23"/>
  <c r="L38" i="23"/>
  <c r="N37" i="23"/>
  <c r="L37" i="23"/>
  <c r="N36" i="23"/>
  <c r="L36" i="23"/>
  <c r="N35" i="23"/>
  <c r="L35" i="23"/>
  <c r="N34" i="23"/>
  <c r="L34" i="23"/>
  <c r="N31" i="23"/>
  <c r="L31" i="23"/>
  <c r="N30" i="23"/>
  <c r="L30" i="23"/>
  <c r="N29" i="23"/>
  <c r="L29" i="23"/>
  <c r="N28" i="23"/>
  <c r="L28" i="23"/>
  <c r="N27" i="23"/>
  <c r="L27" i="23"/>
  <c r="N26" i="23"/>
  <c r="L26" i="23"/>
  <c r="N25" i="23"/>
  <c r="L25" i="23"/>
  <c r="N24" i="23"/>
  <c r="L24" i="23"/>
  <c r="N23" i="23"/>
  <c r="L23" i="23"/>
  <c r="N19" i="23"/>
  <c r="C17" i="23"/>
  <c r="C18" i="23" s="1"/>
  <c r="C19" i="23" s="1"/>
  <c r="C20" i="23" s="1"/>
  <c r="C21" i="23" s="1"/>
  <c r="C22" i="23" s="1"/>
  <c r="C23" i="23" s="1"/>
  <c r="C24" i="23" s="1"/>
  <c r="C25" i="23" s="1"/>
  <c r="C26" i="23" s="1"/>
  <c r="C27" i="23" s="1"/>
  <c r="C28" i="23" s="1"/>
  <c r="C29" i="23" s="1"/>
  <c r="C30" i="23" s="1"/>
  <c r="C31" i="23" s="1"/>
  <c r="C32" i="23" s="1"/>
  <c r="K11" i="23"/>
  <c r="I11" i="23"/>
  <c r="P155" i="22"/>
  <c r="O155" i="22"/>
  <c r="M155" i="22"/>
  <c r="P154" i="22"/>
  <c r="O154" i="22"/>
  <c r="M154" i="22"/>
  <c r="P153" i="22"/>
  <c r="O153" i="22"/>
  <c r="M153" i="22"/>
  <c r="P152" i="22"/>
  <c r="O152" i="22"/>
  <c r="M152" i="22"/>
  <c r="P151" i="22"/>
  <c r="O151" i="22"/>
  <c r="M151" i="22"/>
  <c r="P150" i="22"/>
  <c r="O150" i="22"/>
  <c r="M150" i="22"/>
  <c r="P149" i="22"/>
  <c r="O149" i="22"/>
  <c r="M149" i="22"/>
  <c r="P148" i="22"/>
  <c r="O148" i="22"/>
  <c r="M148" i="22"/>
  <c r="P147" i="22"/>
  <c r="O147" i="22"/>
  <c r="M147" i="22"/>
  <c r="P146" i="22"/>
  <c r="O146" i="22"/>
  <c r="M146" i="22"/>
  <c r="P145" i="22"/>
  <c r="O145" i="22"/>
  <c r="M145" i="22"/>
  <c r="P144" i="22"/>
  <c r="O144" i="22"/>
  <c r="M144" i="22"/>
  <c r="P143" i="22"/>
  <c r="O143" i="22"/>
  <c r="M143" i="22"/>
  <c r="P142" i="22"/>
  <c r="O142" i="22"/>
  <c r="M142" i="22"/>
  <c r="P141" i="22"/>
  <c r="O141" i="22"/>
  <c r="M141" i="22"/>
  <c r="P140" i="22"/>
  <c r="O140" i="22"/>
  <c r="M140" i="22"/>
  <c r="P139" i="22"/>
  <c r="O139" i="22"/>
  <c r="M139" i="22"/>
  <c r="P138" i="22"/>
  <c r="O138" i="22"/>
  <c r="M138" i="22"/>
  <c r="P137" i="22"/>
  <c r="O137" i="22"/>
  <c r="M137" i="22"/>
  <c r="P136" i="22"/>
  <c r="O136" i="22"/>
  <c r="M136" i="22"/>
  <c r="P135" i="22"/>
  <c r="O135" i="22"/>
  <c r="M135" i="22"/>
  <c r="P134" i="22"/>
  <c r="O134" i="22"/>
  <c r="M134" i="22"/>
  <c r="P133" i="22"/>
  <c r="O133" i="22"/>
  <c r="M133" i="22"/>
  <c r="P132" i="22"/>
  <c r="O132" i="22"/>
  <c r="M132" i="22"/>
  <c r="O131" i="22"/>
  <c r="M131" i="22"/>
  <c r="O130" i="22"/>
  <c r="M130" i="22"/>
  <c r="O129" i="22"/>
  <c r="M129" i="22"/>
  <c r="O128" i="22"/>
  <c r="M128" i="22"/>
  <c r="O127" i="22"/>
  <c r="M127" i="22"/>
  <c r="O126" i="22"/>
  <c r="M126" i="22"/>
  <c r="O125" i="22"/>
  <c r="M125" i="22"/>
  <c r="O124" i="22"/>
  <c r="M124" i="22"/>
  <c r="O123" i="22"/>
  <c r="M123" i="22"/>
  <c r="O122" i="22"/>
  <c r="M122" i="22"/>
  <c r="O121" i="22"/>
  <c r="M121" i="22"/>
  <c r="O120" i="22"/>
  <c r="M120" i="22"/>
  <c r="O119" i="22"/>
  <c r="M119" i="22"/>
  <c r="O118" i="22"/>
  <c r="M118" i="22"/>
  <c r="O117" i="22"/>
  <c r="M117" i="22"/>
  <c r="O116" i="22"/>
  <c r="M116" i="22"/>
  <c r="O115" i="22"/>
  <c r="M115" i="22"/>
  <c r="O114" i="22"/>
  <c r="M114" i="22"/>
  <c r="O113" i="22"/>
  <c r="M113" i="22"/>
  <c r="O112" i="22"/>
  <c r="M112" i="22"/>
  <c r="O111" i="22"/>
  <c r="M111" i="22"/>
  <c r="O110" i="22"/>
  <c r="M110" i="22"/>
  <c r="O109" i="22"/>
  <c r="M109" i="22"/>
  <c r="O108" i="22"/>
  <c r="M108" i="22"/>
  <c r="O107" i="22"/>
  <c r="M107" i="22"/>
  <c r="O106" i="22"/>
  <c r="M106" i="22"/>
  <c r="O105" i="22"/>
  <c r="M105" i="22"/>
  <c r="D97" i="22"/>
  <c r="L94" i="22"/>
  <c r="J94" i="22"/>
  <c r="D92" i="22"/>
  <c r="D90" i="22"/>
  <c r="N73" i="22"/>
  <c r="L73" i="22"/>
  <c r="N72" i="22"/>
  <c r="L72" i="22"/>
  <c r="N71" i="22"/>
  <c r="L71" i="22"/>
  <c r="N70" i="22"/>
  <c r="L70" i="22"/>
  <c r="N69" i="22"/>
  <c r="L69" i="22"/>
  <c r="N68" i="22"/>
  <c r="L68" i="22"/>
  <c r="N67" i="22"/>
  <c r="L67" i="22"/>
  <c r="N66" i="22"/>
  <c r="L66" i="22"/>
  <c r="N65" i="22"/>
  <c r="L65" i="22"/>
  <c r="N64" i="22"/>
  <c r="L64" i="22"/>
  <c r="N63" i="22"/>
  <c r="L63" i="22"/>
  <c r="N62" i="22"/>
  <c r="L62" i="22"/>
  <c r="N61" i="22"/>
  <c r="L61" i="22"/>
  <c r="N60" i="22"/>
  <c r="L60" i="22"/>
  <c r="N59" i="22"/>
  <c r="L59" i="22"/>
  <c r="N58" i="22"/>
  <c r="L58" i="22"/>
  <c r="N57" i="22"/>
  <c r="L57" i="22"/>
  <c r="N56" i="22"/>
  <c r="L56" i="22"/>
  <c r="N55" i="22"/>
  <c r="L55" i="22"/>
  <c r="N54" i="22"/>
  <c r="L54" i="22"/>
  <c r="N53" i="22"/>
  <c r="L53" i="22"/>
  <c r="N52" i="22"/>
  <c r="L52" i="22"/>
  <c r="N51" i="22"/>
  <c r="L51" i="22"/>
  <c r="N50" i="22"/>
  <c r="L50" i="22"/>
  <c r="N49" i="22"/>
  <c r="L49" i="22"/>
  <c r="N48" i="22"/>
  <c r="L48" i="22"/>
  <c r="N47" i="22"/>
  <c r="L47" i="22"/>
  <c r="N46" i="22"/>
  <c r="L46" i="22"/>
  <c r="N45" i="22"/>
  <c r="L45" i="22"/>
  <c r="N44" i="22"/>
  <c r="L44" i="22"/>
  <c r="N43" i="22"/>
  <c r="L43" i="22"/>
  <c r="N42" i="22"/>
  <c r="L42" i="22"/>
  <c r="N41" i="22"/>
  <c r="L41" i="22"/>
  <c r="N40" i="22"/>
  <c r="L40" i="22"/>
  <c r="N39" i="22"/>
  <c r="L39" i="22"/>
  <c r="N38" i="22"/>
  <c r="L38" i="22"/>
  <c r="N37" i="22"/>
  <c r="L37" i="22"/>
  <c r="N36" i="22"/>
  <c r="L36" i="22"/>
  <c r="N35" i="22"/>
  <c r="L35" i="22"/>
  <c r="N34" i="22"/>
  <c r="L34" i="22"/>
  <c r="N33" i="22"/>
  <c r="L33" i="22"/>
  <c r="N31" i="22"/>
  <c r="L31" i="22"/>
  <c r="N30" i="22"/>
  <c r="L30" i="22"/>
  <c r="N29" i="22"/>
  <c r="L29" i="22"/>
  <c r="N28" i="22"/>
  <c r="L28" i="22"/>
  <c r="N27" i="22"/>
  <c r="L27" i="22"/>
  <c r="N26" i="22"/>
  <c r="L26" i="22"/>
  <c r="N25" i="22"/>
  <c r="L25" i="22"/>
  <c r="N24" i="22"/>
  <c r="L24" i="22"/>
  <c r="N23" i="22"/>
  <c r="L23" i="22"/>
  <c r="N19" i="22"/>
  <c r="C17" i="22"/>
  <c r="C18" i="22" s="1"/>
  <c r="C19" i="22" s="1"/>
  <c r="C20" i="22" s="1"/>
  <c r="C21" i="22" s="1"/>
  <c r="C22" i="22" s="1"/>
  <c r="C23" i="22" s="1"/>
  <c r="C24" i="22" s="1"/>
  <c r="C25" i="22" s="1"/>
  <c r="C26" i="22" s="1"/>
  <c r="C27" i="22" s="1"/>
  <c r="C28" i="22" s="1"/>
  <c r="C29" i="22" s="1"/>
  <c r="C30" i="22" s="1"/>
  <c r="C31" i="22" s="1"/>
  <c r="C32" i="22" s="1"/>
  <c r="K11" i="22"/>
  <c r="I11" i="22"/>
  <c r="N100" i="21"/>
  <c r="O100" i="21" s="1"/>
  <c r="L100" i="21"/>
  <c r="M100" i="21" s="1"/>
  <c r="N101" i="19"/>
  <c r="O101" i="19" s="1"/>
  <c r="L101" i="19"/>
  <c r="M101" i="19" s="1"/>
  <c r="M19" i="19"/>
  <c r="N19" i="19"/>
  <c r="O19" i="19" s="1"/>
  <c r="K19" i="19"/>
  <c r="L19" i="19" s="1"/>
  <c r="N101" i="18"/>
  <c r="O101" i="18" s="1"/>
  <c r="L101" i="18"/>
  <c r="M101" i="18" s="1"/>
  <c r="M19" i="18"/>
  <c r="N19" i="18" s="1"/>
  <c r="O19" i="18" s="1"/>
  <c r="K19" i="18"/>
  <c r="L19" i="18" s="1"/>
  <c r="N102" i="4"/>
  <c r="O102" i="4" s="1"/>
  <c r="P102" i="4" s="1"/>
  <c r="L102" i="4"/>
  <c r="M102" i="4" s="1"/>
  <c r="M20" i="4"/>
  <c r="N20" i="4" s="1"/>
  <c r="K20" i="4"/>
  <c r="L20" i="4" s="1"/>
  <c r="M20" i="3"/>
  <c r="N20" i="3" s="1"/>
  <c r="K20" i="3"/>
  <c r="L20" i="3" s="1"/>
  <c r="N102" i="3"/>
  <c r="O102" i="3" s="1"/>
  <c r="P102" i="3" s="1"/>
  <c r="L102" i="3"/>
  <c r="M102" i="3" s="1"/>
  <c r="F78" i="1"/>
  <c r="I12" i="20" s="1"/>
  <c r="I13" i="20" s="1"/>
  <c r="W23" i="17"/>
  <c r="W22" i="17"/>
  <c r="B21" i="18"/>
  <c r="B19" i="21"/>
  <c r="B21" i="3"/>
  <c r="M17" i="21"/>
  <c r="K17" i="21"/>
  <c r="M17" i="20"/>
  <c r="K17" i="20"/>
  <c r="L17" i="20"/>
  <c r="N100" i="19"/>
  <c r="L100" i="19"/>
  <c r="M18" i="19"/>
  <c r="K18" i="19"/>
  <c r="L18" i="19"/>
  <c r="N100" i="18"/>
  <c r="L100" i="18"/>
  <c r="M18" i="18"/>
  <c r="K18" i="18"/>
  <c r="L18" i="18" s="1"/>
  <c r="N101" i="4"/>
  <c r="L101" i="4"/>
  <c r="M19" i="4"/>
  <c r="K19" i="4"/>
  <c r="L19" i="4"/>
  <c r="N101" i="3"/>
  <c r="L101" i="3"/>
  <c r="M19" i="3"/>
  <c r="N19" i="3"/>
  <c r="O19" i="3" s="1"/>
  <c r="K19" i="3"/>
  <c r="L19" i="3" s="1"/>
  <c r="J95" i="31"/>
  <c r="D94" i="3"/>
  <c r="C100" i="3" s="1"/>
  <c r="C17" i="3"/>
  <c r="C18" i="3" s="1"/>
  <c r="C19" i="3" s="1"/>
  <c r="C20" i="3" s="1"/>
  <c r="C21" i="3" s="1"/>
  <c r="C22" i="3" s="1"/>
  <c r="C23" i="3" s="1"/>
  <c r="C24" i="3" s="1"/>
  <c r="C25" i="3" s="1"/>
  <c r="C26" i="3" s="1"/>
  <c r="C27" i="3" s="1"/>
  <c r="C28" i="3" s="1"/>
  <c r="C29" i="3" s="1"/>
  <c r="C30" i="3" s="1"/>
  <c r="C31" i="3" s="1"/>
  <c r="C32" i="3" s="1"/>
  <c r="K18" i="3"/>
  <c r="L18" i="3" s="1"/>
  <c r="C17" i="4"/>
  <c r="C18" i="4" s="1"/>
  <c r="C19" i="4" s="1"/>
  <c r="C20" i="4" s="1"/>
  <c r="C21" i="4" s="1"/>
  <c r="C22" i="4" s="1"/>
  <c r="C23" i="4" s="1"/>
  <c r="C24" i="4" s="1"/>
  <c r="C25" i="4" s="1"/>
  <c r="C26" i="4" s="1"/>
  <c r="C27" i="4" s="1"/>
  <c r="C28" i="4" s="1"/>
  <c r="C29" i="4" s="1"/>
  <c r="C30" i="4" s="1"/>
  <c r="C31" i="4" s="1"/>
  <c r="C32" i="4" s="1"/>
  <c r="K18" i="4"/>
  <c r="C17" i="18"/>
  <c r="C18" i="18" s="1"/>
  <c r="C19" i="18" s="1"/>
  <c r="C20" i="18" s="1"/>
  <c r="C21" i="18" s="1"/>
  <c r="C22" i="18" s="1"/>
  <c r="C23" i="18" s="1"/>
  <c r="C24" i="18" s="1"/>
  <c r="C25" i="18" s="1"/>
  <c r="C26" i="18" s="1"/>
  <c r="C27" i="18" s="1"/>
  <c r="C28" i="18" s="1"/>
  <c r="C29" i="18" s="1"/>
  <c r="C30" i="18" s="1"/>
  <c r="C31" i="18" s="1"/>
  <c r="C32" i="18" s="1"/>
  <c r="K17" i="18"/>
  <c r="C17" i="19"/>
  <c r="C18" i="19"/>
  <c r="C19" i="19" s="1"/>
  <c r="C20" i="19" s="1"/>
  <c r="C21" i="19" s="1"/>
  <c r="C22" i="19" s="1"/>
  <c r="C23" i="19" s="1"/>
  <c r="C24" i="19" s="1"/>
  <c r="C25" i="19" s="1"/>
  <c r="C26" i="19" s="1"/>
  <c r="C27" i="19" s="1"/>
  <c r="C28" i="19" s="1"/>
  <c r="C29" i="19" s="1"/>
  <c r="C30" i="19" s="1"/>
  <c r="C31" i="19" s="1"/>
  <c r="C32" i="19" s="1"/>
  <c r="K17" i="19"/>
  <c r="L17" i="19"/>
  <c r="C17" i="21"/>
  <c r="C18" i="21" s="1"/>
  <c r="C19" i="21" s="1"/>
  <c r="C20" i="21" s="1"/>
  <c r="C21" i="21" s="1"/>
  <c r="C22" i="21" s="1"/>
  <c r="C23" i="21" s="1"/>
  <c r="C24" i="21" s="1"/>
  <c r="C25" i="21" s="1"/>
  <c r="C26" i="21" s="1"/>
  <c r="C27" i="21" s="1"/>
  <c r="C28" i="21" s="1"/>
  <c r="C29" i="21" s="1"/>
  <c r="C30" i="21" s="1"/>
  <c r="C31" i="21" s="1"/>
  <c r="C32" i="21" s="1"/>
  <c r="I14" i="20"/>
  <c r="C17" i="20"/>
  <c r="C18" i="20" s="1"/>
  <c r="C19" i="20" s="1"/>
  <c r="C20" i="20" s="1"/>
  <c r="C21" i="20" s="1"/>
  <c r="C22" i="20" s="1"/>
  <c r="C23" i="20" s="1"/>
  <c r="C24" i="20" s="1"/>
  <c r="C25" i="20" s="1"/>
  <c r="C26" i="20" s="1"/>
  <c r="C27" i="20" s="1"/>
  <c r="C28" i="20" s="1"/>
  <c r="C29" i="20" s="1"/>
  <c r="C30" i="20" s="1"/>
  <c r="C31" i="20" s="1"/>
  <c r="C32" i="20" s="1"/>
  <c r="C33" i="20" s="1"/>
  <c r="C34" i="20" s="1"/>
  <c r="C35" i="20" s="1"/>
  <c r="C36" i="20" s="1"/>
  <c r="C37" i="20" s="1"/>
  <c r="C38" i="20" s="1"/>
  <c r="C39" i="20" s="1"/>
  <c r="C40" i="20" s="1"/>
  <c r="C41" i="20" s="1"/>
  <c r="C42" i="20" s="1"/>
  <c r="C43" i="20" s="1"/>
  <c r="C44" i="20" s="1"/>
  <c r="C45" i="20" s="1"/>
  <c r="C46" i="20" s="1"/>
  <c r="C47" i="20" s="1"/>
  <c r="C48" i="20" s="1"/>
  <c r="C49" i="20" s="1"/>
  <c r="C50" i="20" s="1"/>
  <c r="C51" i="20" s="1"/>
  <c r="C52" i="20" s="1"/>
  <c r="C53" i="20" s="1"/>
  <c r="C54" i="20" s="1"/>
  <c r="C55" i="20" s="1"/>
  <c r="C56" i="20" s="1"/>
  <c r="C57" i="20" s="1"/>
  <c r="C58" i="20" s="1"/>
  <c r="C59" i="20" s="1"/>
  <c r="C60" i="20" s="1"/>
  <c r="C61" i="20" s="1"/>
  <c r="C62" i="20" s="1"/>
  <c r="C63" i="20" s="1"/>
  <c r="C64" i="20" s="1"/>
  <c r="C65" i="20" s="1"/>
  <c r="C66" i="20" s="1"/>
  <c r="C67" i="20" s="1"/>
  <c r="C68" i="20" s="1"/>
  <c r="C69" i="20" s="1"/>
  <c r="C70" i="20" s="1"/>
  <c r="C71" i="20" s="1"/>
  <c r="C72" i="20" s="1"/>
  <c r="C73" i="20" s="1"/>
  <c r="D95" i="3"/>
  <c r="P1" i="21"/>
  <c r="P84" i="21" s="1"/>
  <c r="H3" i="21"/>
  <c r="K11" i="21"/>
  <c r="B17" i="21"/>
  <c r="L17" i="21"/>
  <c r="N17" i="21"/>
  <c r="O17" i="21"/>
  <c r="N20" i="21"/>
  <c r="L24" i="21"/>
  <c r="N24" i="21"/>
  <c r="L25" i="21"/>
  <c r="N25" i="21"/>
  <c r="L26" i="21"/>
  <c r="N26" i="21"/>
  <c r="L27" i="21"/>
  <c r="N27" i="21"/>
  <c r="L28" i="21"/>
  <c r="N28" i="21"/>
  <c r="L29" i="21"/>
  <c r="N29" i="21"/>
  <c r="L30" i="21"/>
  <c r="N30" i="21"/>
  <c r="L31" i="21"/>
  <c r="N31" i="21"/>
  <c r="L33" i="21"/>
  <c r="N33" i="21"/>
  <c r="L34" i="21"/>
  <c r="N34" i="21"/>
  <c r="L35" i="21"/>
  <c r="N35" i="21"/>
  <c r="L36" i="21"/>
  <c r="N36" i="21"/>
  <c r="L37" i="21"/>
  <c r="N37" i="21"/>
  <c r="L38" i="21"/>
  <c r="N38" i="21"/>
  <c r="L39" i="21"/>
  <c r="N39" i="21"/>
  <c r="L40" i="21"/>
  <c r="N40" i="21"/>
  <c r="L41" i="21"/>
  <c r="N41" i="21"/>
  <c r="L42" i="21"/>
  <c r="N42" i="21"/>
  <c r="L43" i="21"/>
  <c r="N43" i="21"/>
  <c r="L44" i="21"/>
  <c r="N44" i="21"/>
  <c r="L45" i="21"/>
  <c r="N45" i="21"/>
  <c r="L46" i="21"/>
  <c r="N46" i="21"/>
  <c r="L47" i="21"/>
  <c r="N47" i="21"/>
  <c r="L48" i="21"/>
  <c r="N48" i="21"/>
  <c r="L49" i="21"/>
  <c r="N49" i="21"/>
  <c r="L50" i="21"/>
  <c r="N50" i="21"/>
  <c r="L51" i="21"/>
  <c r="N51" i="21"/>
  <c r="L52" i="21"/>
  <c r="N52" i="21"/>
  <c r="L53" i="21"/>
  <c r="N53" i="21"/>
  <c r="L54" i="21"/>
  <c r="N54" i="21"/>
  <c r="L55" i="21"/>
  <c r="N55" i="21"/>
  <c r="L56" i="21"/>
  <c r="N56" i="21"/>
  <c r="L57" i="21"/>
  <c r="N57" i="21"/>
  <c r="L58" i="21"/>
  <c r="N58" i="21"/>
  <c r="L59" i="21"/>
  <c r="N59" i="21"/>
  <c r="L60" i="21"/>
  <c r="N60" i="21"/>
  <c r="L61" i="21"/>
  <c r="N61" i="21"/>
  <c r="L62" i="21"/>
  <c r="N62" i="21"/>
  <c r="L63" i="21"/>
  <c r="N63" i="21"/>
  <c r="L64" i="21"/>
  <c r="N64" i="21"/>
  <c r="L65" i="21"/>
  <c r="N65" i="21"/>
  <c r="L66" i="21"/>
  <c r="N66" i="21"/>
  <c r="L67" i="21"/>
  <c r="N67" i="21"/>
  <c r="L68" i="21"/>
  <c r="N68" i="21"/>
  <c r="L69" i="21"/>
  <c r="N69" i="21"/>
  <c r="L70" i="21"/>
  <c r="N70" i="21"/>
  <c r="L71" i="21"/>
  <c r="N71" i="21"/>
  <c r="L72" i="21"/>
  <c r="N72" i="21"/>
  <c r="L73" i="21"/>
  <c r="N73" i="21"/>
  <c r="D90" i="21"/>
  <c r="D91" i="21"/>
  <c r="D92" i="21"/>
  <c r="J94" i="21"/>
  <c r="L94" i="21"/>
  <c r="D97" i="21"/>
  <c r="O102" i="21"/>
  <c r="P102" i="21"/>
  <c r="M106" i="21"/>
  <c r="O106" i="21"/>
  <c r="M107" i="21"/>
  <c r="O107" i="21"/>
  <c r="M108" i="21"/>
  <c r="O108" i="21"/>
  <c r="M109" i="21"/>
  <c r="O109" i="21"/>
  <c r="M110" i="21"/>
  <c r="O110" i="21"/>
  <c r="M111" i="21"/>
  <c r="O111" i="21"/>
  <c r="M112" i="21"/>
  <c r="O112" i="21"/>
  <c r="M113" i="21"/>
  <c r="O113" i="21"/>
  <c r="M114" i="21"/>
  <c r="O114" i="21"/>
  <c r="M115" i="21"/>
  <c r="O115" i="21"/>
  <c r="M116" i="21"/>
  <c r="O116" i="21"/>
  <c r="M117" i="21"/>
  <c r="O117" i="21"/>
  <c r="M118" i="21"/>
  <c r="O118" i="21"/>
  <c r="M119" i="21"/>
  <c r="O119" i="21"/>
  <c r="M120" i="21"/>
  <c r="O120" i="21"/>
  <c r="M121" i="21"/>
  <c r="O121" i="21"/>
  <c r="M122" i="21"/>
  <c r="O122" i="21"/>
  <c r="M123" i="21"/>
  <c r="O123" i="21"/>
  <c r="M124" i="21"/>
  <c r="O124" i="21"/>
  <c r="M125" i="21"/>
  <c r="O125" i="21"/>
  <c r="M126" i="21"/>
  <c r="O126" i="21"/>
  <c r="M127" i="21"/>
  <c r="O127" i="21"/>
  <c r="M128" i="21"/>
  <c r="O128" i="21"/>
  <c r="M129" i="21"/>
  <c r="O129" i="21"/>
  <c r="M130" i="21"/>
  <c r="O130" i="21"/>
  <c r="M131" i="21"/>
  <c r="O131" i="21"/>
  <c r="M132" i="21"/>
  <c r="O132" i="21"/>
  <c r="M133" i="21"/>
  <c r="O133" i="21"/>
  <c r="M134" i="21"/>
  <c r="O134" i="21"/>
  <c r="M135" i="21"/>
  <c r="O135" i="21"/>
  <c r="M136" i="21"/>
  <c r="O136" i="21"/>
  <c r="M137" i="21"/>
  <c r="O137" i="21"/>
  <c r="M138" i="21"/>
  <c r="O138" i="21"/>
  <c r="M139" i="21"/>
  <c r="O139" i="21"/>
  <c r="M140" i="21"/>
  <c r="O140" i="21"/>
  <c r="M141" i="21"/>
  <c r="O141" i="21"/>
  <c r="M142" i="21"/>
  <c r="O142" i="21"/>
  <c r="M143" i="21"/>
  <c r="O143" i="21"/>
  <c r="M144" i="21"/>
  <c r="O144" i="21"/>
  <c r="M145" i="21"/>
  <c r="O145" i="21"/>
  <c r="M146" i="21"/>
  <c r="O146" i="21"/>
  <c r="M147" i="21"/>
  <c r="O147" i="21"/>
  <c r="M148" i="21"/>
  <c r="O148" i="21"/>
  <c r="M149" i="21"/>
  <c r="O149" i="21"/>
  <c r="M150" i="21"/>
  <c r="O150" i="21"/>
  <c r="M151" i="21"/>
  <c r="O151" i="21"/>
  <c r="M152" i="21"/>
  <c r="O152" i="21"/>
  <c r="M153" i="21"/>
  <c r="O153" i="21"/>
  <c r="M154" i="21"/>
  <c r="O154" i="21"/>
  <c r="M155" i="21"/>
  <c r="O155" i="21"/>
  <c r="M17" i="19"/>
  <c r="P1" i="20"/>
  <c r="P84" i="20" s="1"/>
  <c r="H3" i="20"/>
  <c r="K11" i="20"/>
  <c r="B17" i="20"/>
  <c r="N17" i="20"/>
  <c r="O17" i="20" s="1"/>
  <c r="L18" i="20"/>
  <c r="N18" i="20"/>
  <c r="L19" i="20"/>
  <c r="N19" i="20"/>
  <c r="L20" i="20"/>
  <c r="N20" i="20"/>
  <c r="L21" i="20"/>
  <c r="N21" i="20"/>
  <c r="L22" i="20"/>
  <c r="N22" i="20"/>
  <c r="L23" i="20"/>
  <c r="N23" i="20"/>
  <c r="L24" i="20"/>
  <c r="N24" i="20"/>
  <c r="L25" i="20"/>
  <c r="N25" i="20"/>
  <c r="L26" i="20"/>
  <c r="N26" i="20"/>
  <c r="L27" i="20"/>
  <c r="N27" i="20"/>
  <c r="L28" i="20"/>
  <c r="N28" i="20"/>
  <c r="L29" i="20"/>
  <c r="N29" i="20"/>
  <c r="L30" i="20"/>
  <c r="N30" i="20"/>
  <c r="L31" i="20"/>
  <c r="N31" i="20"/>
  <c r="L33" i="20"/>
  <c r="N33" i="20"/>
  <c r="L34" i="20"/>
  <c r="N34" i="20"/>
  <c r="L35" i="20"/>
  <c r="N35" i="20"/>
  <c r="L36" i="20"/>
  <c r="N36" i="20"/>
  <c r="L37" i="20"/>
  <c r="N37" i="20"/>
  <c r="L38" i="20"/>
  <c r="N38" i="20"/>
  <c r="L39" i="20"/>
  <c r="N39" i="20"/>
  <c r="L40" i="20"/>
  <c r="N40" i="20"/>
  <c r="L41" i="20"/>
  <c r="N41" i="20"/>
  <c r="L42" i="20"/>
  <c r="N42" i="20"/>
  <c r="L43" i="20"/>
  <c r="N43" i="20"/>
  <c r="L44" i="20"/>
  <c r="N44" i="20"/>
  <c r="L45" i="20"/>
  <c r="N45" i="20"/>
  <c r="L46" i="20"/>
  <c r="N46" i="20"/>
  <c r="L47" i="20"/>
  <c r="N47" i="20"/>
  <c r="L48" i="20"/>
  <c r="N48" i="20"/>
  <c r="L49" i="20"/>
  <c r="N49" i="20"/>
  <c r="L50" i="20"/>
  <c r="N50" i="20"/>
  <c r="L51" i="20"/>
  <c r="N51" i="20"/>
  <c r="L52" i="20"/>
  <c r="N52" i="20"/>
  <c r="L53" i="20"/>
  <c r="N53" i="20"/>
  <c r="L54" i="20"/>
  <c r="N54" i="20"/>
  <c r="L55" i="20"/>
  <c r="N55" i="20"/>
  <c r="L56" i="20"/>
  <c r="N56" i="20"/>
  <c r="L57" i="20"/>
  <c r="N57" i="20"/>
  <c r="L58" i="20"/>
  <c r="N58" i="20"/>
  <c r="L59" i="20"/>
  <c r="N59" i="20"/>
  <c r="L60" i="20"/>
  <c r="N60" i="20"/>
  <c r="L61" i="20"/>
  <c r="N61" i="20"/>
  <c r="L62" i="20"/>
  <c r="N62" i="20"/>
  <c r="L63" i="20"/>
  <c r="N63" i="20"/>
  <c r="L64" i="20"/>
  <c r="N64" i="20"/>
  <c r="L65" i="20"/>
  <c r="N65" i="20"/>
  <c r="L66" i="20"/>
  <c r="N66" i="20"/>
  <c r="L67" i="20"/>
  <c r="N67" i="20"/>
  <c r="L68" i="20"/>
  <c r="N68" i="20"/>
  <c r="L69" i="20"/>
  <c r="N69" i="20"/>
  <c r="L70" i="20"/>
  <c r="N70" i="20"/>
  <c r="L71" i="20"/>
  <c r="N71" i="20"/>
  <c r="L72" i="20"/>
  <c r="N72" i="20"/>
  <c r="L73" i="20"/>
  <c r="N73" i="20"/>
  <c r="D90" i="20"/>
  <c r="D92" i="20"/>
  <c r="J94" i="20"/>
  <c r="L94" i="20"/>
  <c r="D97" i="20"/>
  <c r="M100" i="20"/>
  <c r="O100" i="20"/>
  <c r="M101" i="20"/>
  <c r="O101" i="20"/>
  <c r="M102" i="20"/>
  <c r="O102" i="20"/>
  <c r="M103" i="20"/>
  <c r="O103" i="20"/>
  <c r="M104" i="20"/>
  <c r="O104" i="20"/>
  <c r="M105" i="20"/>
  <c r="O105" i="20"/>
  <c r="M106" i="20"/>
  <c r="O106" i="20"/>
  <c r="M107" i="20"/>
  <c r="O107" i="20"/>
  <c r="M108" i="20"/>
  <c r="O108" i="20"/>
  <c r="M109" i="20"/>
  <c r="O109" i="20"/>
  <c r="M110" i="20"/>
  <c r="O110" i="20"/>
  <c r="M111" i="20"/>
  <c r="O111" i="20"/>
  <c r="M112" i="20"/>
  <c r="O112" i="20"/>
  <c r="M113" i="20"/>
  <c r="O113" i="20"/>
  <c r="M114" i="20"/>
  <c r="O114" i="20"/>
  <c r="M115" i="20"/>
  <c r="O115" i="20"/>
  <c r="M116" i="20"/>
  <c r="O116" i="20"/>
  <c r="M117" i="20"/>
  <c r="O117" i="20"/>
  <c r="M118" i="20"/>
  <c r="O118" i="20"/>
  <c r="M119" i="20"/>
  <c r="O119" i="20"/>
  <c r="M120" i="20"/>
  <c r="O120" i="20"/>
  <c r="M121" i="20"/>
  <c r="O121" i="20"/>
  <c r="M122" i="20"/>
  <c r="O122" i="20"/>
  <c r="M123" i="20"/>
  <c r="O123" i="20"/>
  <c r="M124" i="20"/>
  <c r="O124" i="20"/>
  <c r="M125" i="20"/>
  <c r="O125" i="20"/>
  <c r="M126" i="20"/>
  <c r="O126" i="20"/>
  <c r="M127" i="20"/>
  <c r="O127" i="20"/>
  <c r="M128" i="20"/>
  <c r="O128" i="20"/>
  <c r="M129" i="20"/>
  <c r="O129" i="20"/>
  <c r="M130" i="20"/>
  <c r="O130" i="20"/>
  <c r="M131" i="20"/>
  <c r="O131" i="20"/>
  <c r="M132" i="20"/>
  <c r="O132" i="20"/>
  <c r="M133" i="20"/>
  <c r="O133" i="20"/>
  <c r="M134" i="20"/>
  <c r="O134" i="20"/>
  <c r="M135" i="20"/>
  <c r="O135" i="20"/>
  <c r="M136" i="20"/>
  <c r="O136" i="20"/>
  <c r="M137" i="20"/>
  <c r="O137" i="20"/>
  <c r="M138" i="20"/>
  <c r="O138" i="20"/>
  <c r="M139" i="20"/>
  <c r="O139" i="20"/>
  <c r="M140" i="20"/>
  <c r="O140" i="20"/>
  <c r="M141" i="20"/>
  <c r="O141" i="20"/>
  <c r="M142" i="20"/>
  <c r="O142" i="20"/>
  <c r="M143" i="20"/>
  <c r="O143" i="20"/>
  <c r="M144" i="20"/>
  <c r="O144" i="20"/>
  <c r="M145" i="20"/>
  <c r="O145" i="20"/>
  <c r="M146" i="20"/>
  <c r="O146" i="20"/>
  <c r="M147" i="20"/>
  <c r="O147" i="20"/>
  <c r="M148" i="20"/>
  <c r="O148" i="20"/>
  <c r="M149" i="20"/>
  <c r="O149" i="20"/>
  <c r="M150" i="20"/>
  <c r="O150" i="20"/>
  <c r="M151" i="20"/>
  <c r="O151" i="20"/>
  <c r="M152" i="20"/>
  <c r="O152" i="20"/>
  <c r="M153" i="20"/>
  <c r="O153" i="20"/>
  <c r="M154" i="20"/>
  <c r="O154" i="20"/>
  <c r="M155" i="20"/>
  <c r="O155" i="20"/>
  <c r="M17" i="18"/>
  <c r="N100" i="4"/>
  <c r="L100" i="4"/>
  <c r="M100" i="4"/>
  <c r="M18" i="4"/>
  <c r="N100" i="3"/>
  <c r="L100" i="3"/>
  <c r="M100" i="3" s="1"/>
  <c r="M18" i="3"/>
  <c r="C17" i="13"/>
  <c r="W21" i="17"/>
  <c r="W20" i="17"/>
  <c r="K17" i="3"/>
  <c r="K17" i="4"/>
  <c r="L17" i="4" s="1"/>
  <c r="O17" i="4" s="1"/>
  <c r="P1" i="19"/>
  <c r="P84" i="19" s="1"/>
  <c r="H3" i="19"/>
  <c r="K11" i="19"/>
  <c r="B17" i="19"/>
  <c r="I17" i="19"/>
  <c r="N17" i="19"/>
  <c r="O17" i="19"/>
  <c r="B18" i="19"/>
  <c r="N18" i="19"/>
  <c r="O18" i="19"/>
  <c r="N22" i="19"/>
  <c r="L26" i="19"/>
  <c r="N26" i="19"/>
  <c r="L27" i="19"/>
  <c r="N27" i="19"/>
  <c r="L28" i="19"/>
  <c r="N28" i="19"/>
  <c r="L29" i="19"/>
  <c r="N29" i="19"/>
  <c r="L30" i="19"/>
  <c r="N30" i="19"/>
  <c r="L34" i="19"/>
  <c r="N34" i="19"/>
  <c r="L35" i="19"/>
  <c r="N35" i="19"/>
  <c r="L36" i="19"/>
  <c r="N36" i="19"/>
  <c r="L37" i="19"/>
  <c r="N37" i="19"/>
  <c r="L38" i="19"/>
  <c r="N38" i="19"/>
  <c r="L39" i="19"/>
  <c r="N39" i="19"/>
  <c r="L40" i="19"/>
  <c r="N40" i="19"/>
  <c r="L41" i="19"/>
  <c r="N41" i="19"/>
  <c r="L42" i="19"/>
  <c r="N42" i="19"/>
  <c r="L43" i="19"/>
  <c r="N43" i="19"/>
  <c r="L44" i="19"/>
  <c r="N44" i="19"/>
  <c r="L45" i="19"/>
  <c r="N45" i="19"/>
  <c r="L46" i="19"/>
  <c r="N46" i="19"/>
  <c r="L47" i="19"/>
  <c r="N47" i="19"/>
  <c r="L48" i="19"/>
  <c r="N48" i="19"/>
  <c r="L49" i="19"/>
  <c r="N49" i="19"/>
  <c r="L50" i="19"/>
  <c r="N50" i="19"/>
  <c r="L51" i="19"/>
  <c r="N51" i="19"/>
  <c r="L52" i="19"/>
  <c r="N52" i="19"/>
  <c r="L53" i="19"/>
  <c r="N53" i="19"/>
  <c r="L54" i="19"/>
  <c r="N54" i="19"/>
  <c r="L55" i="19"/>
  <c r="N55" i="19"/>
  <c r="L56" i="19"/>
  <c r="N56" i="19"/>
  <c r="L57" i="19"/>
  <c r="N57" i="19"/>
  <c r="L58" i="19"/>
  <c r="N58" i="19"/>
  <c r="L59" i="19"/>
  <c r="N59" i="19"/>
  <c r="L60" i="19"/>
  <c r="N60" i="19"/>
  <c r="L61" i="19"/>
  <c r="N61" i="19"/>
  <c r="L62" i="19"/>
  <c r="N62" i="19"/>
  <c r="L63" i="19"/>
  <c r="N63" i="19"/>
  <c r="L64" i="19"/>
  <c r="N64" i="19"/>
  <c r="L65" i="19"/>
  <c r="N65" i="19"/>
  <c r="L66" i="19"/>
  <c r="N66" i="19"/>
  <c r="L67" i="19"/>
  <c r="N67" i="19"/>
  <c r="L68" i="19"/>
  <c r="N68" i="19"/>
  <c r="L69" i="19"/>
  <c r="N69" i="19"/>
  <c r="L70" i="19"/>
  <c r="N70" i="19"/>
  <c r="L71" i="19"/>
  <c r="N71" i="19"/>
  <c r="L72" i="19"/>
  <c r="N72" i="19"/>
  <c r="L73" i="19"/>
  <c r="N73" i="19"/>
  <c r="D90" i="19"/>
  <c r="D91" i="19"/>
  <c r="D92" i="19"/>
  <c r="J94" i="19"/>
  <c r="L94" i="19"/>
  <c r="D97" i="19"/>
  <c r="M100" i="19"/>
  <c r="P100" i="19"/>
  <c r="O100" i="19"/>
  <c r="M108" i="19"/>
  <c r="O108" i="19"/>
  <c r="M109" i="19"/>
  <c r="O109" i="19"/>
  <c r="M110" i="19"/>
  <c r="O110" i="19"/>
  <c r="M111" i="19"/>
  <c r="O111" i="19"/>
  <c r="M112" i="19"/>
  <c r="O112" i="19"/>
  <c r="M113" i="19"/>
  <c r="O113" i="19"/>
  <c r="M114" i="19"/>
  <c r="O114" i="19"/>
  <c r="M115" i="19"/>
  <c r="O115" i="19"/>
  <c r="M116" i="19"/>
  <c r="O116" i="19"/>
  <c r="M117" i="19"/>
  <c r="O117" i="19"/>
  <c r="M118" i="19"/>
  <c r="O118" i="19"/>
  <c r="M119" i="19"/>
  <c r="O119" i="19"/>
  <c r="M120" i="19"/>
  <c r="O120" i="19"/>
  <c r="M121" i="19"/>
  <c r="O121" i="19"/>
  <c r="M122" i="19"/>
  <c r="O122" i="19"/>
  <c r="M123" i="19"/>
  <c r="O123" i="19"/>
  <c r="M124" i="19"/>
  <c r="O124" i="19"/>
  <c r="M125" i="19"/>
  <c r="O125" i="19"/>
  <c r="M126" i="19"/>
  <c r="O126" i="19"/>
  <c r="M127" i="19"/>
  <c r="O127" i="19"/>
  <c r="M128" i="19"/>
  <c r="O128" i="19"/>
  <c r="M129" i="19"/>
  <c r="O129" i="19"/>
  <c r="M130" i="19"/>
  <c r="O130" i="19"/>
  <c r="M131" i="19"/>
  <c r="O131" i="19"/>
  <c r="M132" i="19"/>
  <c r="O132" i="19"/>
  <c r="M133" i="19"/>
  <c r="O133" i="19"/>
  <c r="M134" i="19"/>
  <c r="O134" i="19"/>
  <c r="M135" i="19"/>
  <c r="O135" i="19"/>
  <c r="M136" i="19"/>
  <c r="O136" i="19"/>
  <c r="M137" i="19"/>
  <c r="O137" i="19"/>
  <c r="M138" i="19"/>
  <c r="O138" i="19"/>
  <c r="M139" i="19"/>
  <c r="O139" i="19"/>
  <c r="M140" i="19"/>
  <c r="O140" i="19"/>
  <c r="M141" i="19"/>
  <c r="O141" i="19"/>
  <c r="M142" i="19"/>
  <c r="O142" i="19"/>
  <c r="M143" i="19"/>
  <c r="O143" i="19"/>
  <c r="M144" i="19"/>
  <c r="O144" i="19"/>
  <c r="M145" i="19"/>
  <c r="O145" i="19"/>
  <c r="M146" i="19"/>
  <c r="O146" i="19"/>
  <c r="M147" i="19"/>
  <c r="O147" i="19"/>
  <c r="M148" i="19"/>
  <c r="O148" i="19"/>
  <c r="M149" i="19"/>
  <c r="O149" i="19"/>
  <c r="M150" i="19"/>
  <c r="O150" i="19"/>
  <c r="M151" i="19"/>
  <c r="O151" i="19"/>
  <c r="M152" i="19"/>
  <c r="O152" i="19"/>
  <c r="M153" i="19"/>
  <c r="O153" i="19"/>
  <c r="M154" i="19"/>
  <c r="O154" i="19"/>
  <c r="M155" i="19"/>
  <c r="O155" i="19"/>
  <c r="I17" i="18"/>
  <c r="P1" i="18"/>
  <c r="P84" i="18" s="1"/>
  <c r="H3" i="18"/>
  <c r="K11" i="18"/>
  <c r="B17" i="18"/>
  <c r="L17" i="18"/>
  <c r="N17" i="18"/>
  <c r="O17" i="18" s="1"/>
  <c r="B18" i="18"/>
  <c r="N18" i="18"/>
  <c r="O18" i="18" s="1"/>
  <c r="N22" i="18"/>
  <c r="L26" i="18"/>
  <c r="N26" i="18"/>
  <c r="L27" i="18"/>
  <c r="N27" i="18"/>
  <c r="L28" i="18"/>
  <c r="N28" i="18"/>
  <c r="L29" i="18"/>
  <c r="N29" i="18"/>
  <c r="L30" i="18"/>
  <c r="N30" i="18"/>
  <c r="L34" i="18"/>
  <c r="N34" i="18"/>
  <c r="L35" i="18"/>
  <c r="N35" i="18"/>
  <c r="L36" i="18"/>
  <c r="N36" i="18"/>
  <c r="L37" i="18"/>
  <c r="N37" i="18"/>
  <c r="L38" i="18"/>
  <c r="N38" i="18"/>
  <c r="L39" i="18"/>
  <c r="N39" i="18"/>
  <c r="L40" i="18"/>
  <c r="N40" i="18"/>
  <c r="L41" i="18"/>
  <c r="N41" i="18"/>
  <c r="L42" i="18"/>
  <c r="N42" i="18"/>
  <c r="L43" i="18"/>
  <c r="N43" i="18"/>
  <c r="L44" i="18"/>
  <c r="N44" i="18"/>
  <c r="L45" i="18"/>
  <c r="N45" i="18"/>
  <c r="L46" i="18"/>
  <c r="N46" i="18"/>
  <c r="L47" i="18"/>
  <c r="N47" i="18"/>
  <c r="L48" i="18"/>
  <c r="N48" i="18"/>
  <c r="L49" i="18"/>
  <c r="N49" i="18"/>
  <c r="L50" i="18"/>
  <c r="N50" i="18"/>
  <c r="L51" i="18"/>
  <c r="N51" i="18"/>
  <c r="L52" i="18"/>
  <c r="N52" i="18"/>
  <c r="L53" i="18"/>
  <c r="N53" i="18"/>
  <c r="L54" i="18"/>
  <c r="N54" i="18"/>
  <c r="L55" i="18"/>
  <c r="N55" i="18"/>
  <c r="L56" i="18"/>
  <c r="N56" i="18"/>
  <c r="L57" i="18"/>
  <c r="N57" i="18"/>
  <c r="L58" i="18"/>
  <c r="N58" i="18"/>
  <c r="L59" i="18"/>
  <c r="N59" i="18"/>
  <c r="L60" i="18"/>
  <c r="N60" i="18"/>
  <c r="L61" i="18"/>
  <c r="N61" i="18"/>
  <c r="L62" i="18"/>
  <c r="N62" i="18"/>
  <c r="L63" i="18"/>
  <c r="N63" i="18"/>
  <c r="L64" i="18"/>
  <c r="N64" i="18"/>
  <c r="L65" i="18"/>
  <c r="N65" i="18"/>
  <c r="L66" i="18"/>
  <c r="N66" i="18"/>
  <c r="L67" i="18"/>
  <c r="N67" i="18"/>
  <c r="L68" i="18"/>
  <c r="N68" i="18"/>
  <c r="L69" i="18"/>
  <c r="N69" i="18"/>
  <c r="L70" i="18"/>
  <c r="N70" i="18"/>
  <c r="L71" i="18"/>
  <c r="N71" i="18"/>
  <c r="L72" i="18"/>
  <c r="N72" i="18"/>
  <c r="L73" i="18"/>
  <c r="N73" i="18"/>
  <c r="D90" i="18"/>
  <c r="D92" i="18"/>
  <c r="J94" i="18"/>
  <c r="L94" i="18"/>
  <c r="D97" i="18"/>
  <c r="M100" i="18"/>
  <c r="O100" i="18"/>
  <c r="M108" i="18"/>
  <c r="O108" i="18"/>
  <c r="M109" i="18"/>
  <c r="O109" i="18"/>
  <c r="M110" i="18"/>
  <c r="O110" i="18"/>
  <c r="M111" i="18"/>
  <c r="O111" i="18"/>
  <c r="M112" i="18"/>
  <c r="O112" i="18"/>
  <c r="M113" i="18"/>
  <c r="O113" i="18"/>
  <c r="M114" i="18"/>
  <c r="O114" i="18"/>
  <c r="M115" i="18"/>
  <c r="O115" i="18"/>
  <c r="M116" i="18"/>
  <c r="O116" i="18"/>
  <c r="M117" i="18"/>
  <c r="O117" i="18"/>
  <c r="M118" i="18"/>
  <c r="O118" i="18"/>
  <c r="M119" i="18"/>
  <c r="O119" i="18"/>
  <c r="M120" i="18"/>
  <c r="O120" i="18"/>
  <c r="M121" i="18"/>
  <c r="O121" i="18"/>
  <c r="M122" i="18"/>
  <c r="O122" i="18"/>
  <c r="M123" i="18"/>
  <c r="O123" i="18"/>
  <c r="M124" i="18"/>
  <c r="O124" i="18"/>
  <c r="M125" i="18"/>
  <c r="O125" i="18"/>
  <c r="M126" i="18"/>
  <c r="O126" i="18"/>
  <c r="M127" i="18"/>
  <c r="O127" i="18"/>
  <c r="M128" i="18"/>
  <c r="O128" i="18"/>
  <c r="M129" i="18"/>
  <c r="O129" i="18"/>
  <c r="M130" i="18"/>
  <c r="O130" i="18"/>
  <c r="M131" i="18"/>
  <c r="O131" i="18"/>
  <c r="M132" i="18"/>
  <c r="O132" i="18"/>
  <c r="M133" i="18"/>
  <c r="O133" i="18"/>
  <c r="M134" i="18"/>
  <c r="O134" i="18"/>
  <c r="M135" i="18"/>
  <c r="O135" i="18"/>
  <c r="M136" i="18"/>
  <c r="O136" i="18"/>
  <c r="M137" i="18"/>
  <c r="O137" i="18"/>
  <c r="M138" i="18"/>
  <c r="O138" i="18"/>
  <c r="M139" i="18"/>
  <c r="O139" i="18"/>
  <c r="M140" i="18"/>
  <c r="O140" i="18"/>
  <c r="M141" i="18"/>
  <c r="O141" i="18"/>
  <c r="M142" i="18"/>
  <c r="O142" i="18"/>
  <c r="M143" i="18"/>
  <c r="O143" i="18"/>
  <c r="M144" i="18"/>
  <c r="O144" i="18"/>
  <c r="M145" i="18"/>
  <c r="O145" i="18"/>
  <c r="M146" i="18"/>
  <c r="O146" i="18"/>
  <c r="M147" i="18"/>
  <c r="O147" i="18"/>
  <c r="M148" i="18"/>
  <c r="O148" i="18"/>
  <c r="M149" i="18"/>
  <c r="O149" i="18"/>
  <c r="M150" i="18"/>
  <c r="O150" i="18"/>
  <c r="M151" i="18"/>
  <c r="O151" i="18"/>
  <c r="M152" i="18"/>
  <c r="O152" i="18"/>
  <c r="M153" i="18"/>
  <c r="O153" i="18"/>
  <c r="M154" i="18"/>
  <c r="O154" i="18"/>
  <c r="M155" i="18"/>
  <c r="O155" i="18"/>
  <c r="B17" i="3"/>
  <c r="B17" i="4"/>
  <c r="M17" i="4"/>
  <c r="B101" i="4"/>
  <c r="B100" i="4"/>
  <c r="B19" i="4"/>
  <c r="B18" i="4"/>
  <c r="B19" i="3"/>
  <c r="B18" i="3"/>
  <c r="B100" i="3"/>
  <c r="M17" i="3"/>
  <c r="N17" i="3"/>
  <c r="O17" i="3" s="1"/>
  <c r="P1" i="13"/>
  <c r="P84" i="13" s="1"/>
  <c r="P1" i="4"/>
  <c r="P84" i="4" s="1"/>
  <c r="P1" i="3"/>
  <c r="P84" i="3" s="1"/>
  <c r="P12" i="17"/>
  <c r="R12" i="17"/>
  <c r="L12" i="17"/>
  <c r="W19" i="17"/>
  <c r="W18" i="17"/>
  <c r="G12" i="17"/>
  <c r="T12" i="17" s="1"/>
  <c r="H3" i="3"/>
  <c r="H3" i="4"/>
  <c r="D91" i="4"/>
  <c r="D91" i="3"/>
  <c r="O3" i="3"/>
  <c r="A1" i="2"/>
  <c r="F13" i="1"/>
  <c r="C37" i="1" s="1"/>
  <c r="I11" i="13"/>
  <c r="K11" i="13"/>
  <c r="L17" i="13"/>
  <c r="N17" i="13"/>
  <c r="L18" i="13"/>
  <c r="N18" i="13"/>
  <c r="L19" i="13"/>
  <c r="N19" i="13"/>
  <c r="L20" i="13"/>
  <c r="N20" i="13"/>
  <c r="L21" i="13"/>
  <c r="N21" i="13"/>
  <c r="L22" i="13"/>
  <c r="N22" i="13"/>
  <c r="L23" i="13"/>
  <c r="N23" i="13"/>
  <c r="L24" i="13"/>
  <c r="N24" i="13"/>
  <c r="L25" i="13"/>
  <c r="N25" i="13"/>
  <c r="L26" i="13"/>
  <c r="N26" i="13"/>
  <c r="L27" i="13"/>
  <c r="N27" i="13"/>
  <c r="L28" i="13"/>
  <c r="N28" i="13"/>
  <c r="L29" i="13"/>
  <c r="N29" i="13"/>
  <c r="L30" i="13"/>
  <c r="N30" i="13"/>
  <c r="L31" i="13"/>
  <c r="N31" i="13"/>
  <c r="L32" i="13"/>
  <c r="N32" i="13"/>
  <c r="L33" i="13"/>
  <c r="N33" i="13"/>
  <c r="L34" i="13"/>
  <c r="N34" i="13"/>
  <c r="L35" i="13"/>
  <c r="N35" i="13"/>
  <c r="L36" i="13"/>
  <c r="N36" i="13"/>
  <c r="L37" i="13"/>
  <c r="N37" i="13"/>
  <c r="L38" i="13"/>
  <c r="N38" i="13"/>
  <c r="L39" i="13"/>
  <c r="N39" i="13"/>
  <c r="L40" i="13"/>
  <c r="N40" i="13"/>
  <c r="L41" i="13"/>
  <c r="N41" i="13"/>
  <c r="L42" i="13"/>
  <c r="N42" i="13"/>
  <c r="L43" i="13"/>
  <c r="N43" i="13"/>
  <c r="L44" i="13"/>
  <c r="N44" i="13"/>
  <c r="L45" i="13"/>
  <c r="N45" i="13"/>
  <c r="L46" i="13"/>
  <c r="N46" i="13"/>
  <c r="L47" i="13"/>
  <c r="N47" i="13"/>
  <c r="L48" i="13"/>
  <c r="N48" i="13"/>
  <c r="L49" i="13"/>
  <c r="N49" i="13"/>
  <c r="L50" i="13"/>
  <c r="N50" i="13"/>
  <c r="L51" i="13"/>
  <c r="N51" i="13"/>
  <c r="L52" i="13"/>
  <c r="N52" i="13"/>
  <c r="L53" i="13"/>
  <c r="N53" i="13"/>
  <c r="L54" i="13"/>
  <c r="N54" i="13"/>
  <c r="L55" i="13"/>
  <c r="N55" i="13"/>
  <c r="L56" i="13"/>
  <c r="N56" i="13"/>
  <c r="L57" i="13"/>
  <c r="N57" i="13"/>
  <c r="L58" i="13"/>
  <c r="N58" i="13"/>
  <c r="L59" i="13"/>
  <c r="N59" i="13"/>
  <c r="L60" i="13"/>
  <c r="N60" i="13"/>
  <c r="L61" i="13"/>
  <c r="N61" i="13"/>
  <c r="L62" i="13"/>
  <c r="N62" i="13"/>
  <c r="L63" i="13"/>
  <c r="N63" i="13"/>
  <c r="L64" i="13"/>
  <c r="N64" i="13"/>
  <c r="L65" i="13"/>
  <c r="N65" i="13"/>
  <c r="L66" i="13"/>
  <c r="N66" i="13"/>
  <c r="L67" i="13"/>
  <c r="N67" i="13"/>
  <c r="L68" i="13"/>
  <c r="N68" i="13"/>
  <c r="L69" i="13"/>
  <c r="N69" i="13"/>
  <c r="L70" i="13"/>
  <c r="N70" i="13"/>
  <c r="L71" i="13"/>
  <c r="N71" i="13"/>
  <c r="D90" i="13"/>
  <c r="D92" i="13"/>
  <c r="J94" i="13"/>
  <c r="L94" i="13"/>
  <c r="D97" i="13"/>
  <c r="M100" i="13"/>
  <c r="O100" i="13"/>
  <c r="M101" i="13"/>
  <c r="O101" i="13"/>
  <c r="M102" i="13"/>
  <c r="O102" i="13"/>
  <c r="M103" i="13"/>
  <c r="O103" i="13"/>
  <c r="M104" i="13"/>
  <c r="O104" i="13"/>
  <c r="M105" i="13"/>
  <c r="O105" i="13"/>
  <c r="M106" i="13"/>
  <c r="O106" i="13"/>
  <c r="M107" i="13"/>
  <c r="O107" i="13"/>
  <c r="M108" i="13"/>
  <c r="O108" i="13"/>
  <c r="M109" i="13"/>
  <c r="O109"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J132" i="13"/>
  <c r="M132" i="13"/>
  <c r="O132" i="13"/>
  <c r="P132" i="13"/>
  <c r="J133" i="13"/>
  <c r="M133" i="13"/>
  <c r="O133" i="13"/>
  <c r="P133" i="13"/>
  <c r="J134" i="13"/>
  <c r="M134" i="13"/>
  <c r="O134" i="13"/>
  <c r="P134" i="13"/>
  <c r="J135" i="13"/>
  <c r="M135" i="13"/>
  <c r="O135" i="13"/>
  <c r="P135" i="13"/>
  <c r="J136" i="13"/>
  <c r="M136" i="13"/>
  <c r="O136" i="13"/>
  <c r="P136" i="13"/>
  <c r="J137" i="13"/>
  <c r="M137" i="13"/>
  <c r="O137" i="13"/>
  <c r="P137" i="13"/>
  <c r="J138" i="13"/>
  <c r="M138" i="13"/>
  <c r="O138" i="13"/>
  <c r="P138" i="13"/>
  <c r="J139" i="13"/>
  <c r="M139" i="13"/>
  <c r="O139" i="13"/>
  <c r="P139" i="13"/>
  <c r="J140" i="13"/>
  <c r="M140" i="13"/>
  <c r="O140" i="13"/>
  <c r="P140" i="13"/>
  <c r="J141" i="13"/>
  <c r="M141" i="13"/>
  <c r="O141" i="13"/>
  <c r="P141" i="13"/>
  <c r="J142" i="13"/>
  <c r="M142" i="13"/>
  <c r="O142" i="13"/>
  <c r="P142" i="13"/>
  <c r="J143" i="13"/>
  <c r="M143" i="13"/>
  <c r="O143" i="13"/>
  <c r="P143" i="13"/>
  <c r="J144" i="13"/>
  <c r="M144" i="13"/>
  <c r="O144" i="13"/>
  <c r="P144" i="13"/>
  <c r="J145" i="13"/>
  <c r="M145" i="13"/>
  <c r="O145" i="13"/>
  <c r="P145" i="13"/>
  <c r="J146" i="13"/>
  <c r="M146" i="13"/>
  <c r="O146" i="13"/>
  <c r="P146" i="13"/>
  <c r="J147" i="13"/>
  <c r="M147" i="13"/>
  <c r="O147" i="13"/>
  <c r="P147" i="13"/>
  <c r="J148" i="13"/>
  <c r="M148" i="13"/>
  <c r="O148" i="13"/>
  <c r="P148" i="13"/>
  <c r="J149" i="13"/>
  <c r="M149" i="13"/>
  <c r="O149" i="13"/>
  <c r="P149" i="13"/>
  <c r="J150" i="13"/>
  <c r="M150" i="13"/>
  <c r="O150" i="13"/>
  <c r="P150" i="13"/>
  <c r="J151" i="13"/>
  <c r="M151" i="13"/>
  <c r="O151" i="13"/>
  <c r="P151" i="13"/>
  <c r="J152" i="13"/>
  <c r="M152" i="13"/>
  <c r="O152" i="13"/>
  <c r="P152" i="13"/>
  <c r="J153" i="13"/>
  <c r="M153" i="13"/>
  <c r="O153" i="13"/>
  <c r="P153" i="13"/>
  <c r="J154" i="13"/>
  <c r="M154" i="13"/>
  <c r="O154" i="13"/>
  <c r="P154" i="13"/>
  <c r="J155" i="13"/>
  <c r="M155" i="13"/>
  <c r="O155" i="13"/>
  <c r="P155" i="13"/>
  <c r="K11" i="4"/>
  <c r="I17" i="4"/>
  <c r="N17" i="4"/>
  <c r="I18" i="4"/>
  <c r="L18" i="4"/>
  <c r="N18" i="4"/>
  <c r="O18" i="4"/>
  <c r="N19" i="4"/>
  <c r="O19" i="4" s="1"/>
  <c r="L27" i="4"/>
  <c r="N27" i="4"/>
  <c r="L28" i="4"/>
  <c r="N28" i="4"/>
  <c r="L29" i="4"/>
  <c r="N29" i="4"/>
  <c r="L30" i="4"/>
  <c r="N30" i="4"/>
  <c r="L31" i="4"/>
  <c r="N31" i="4"/>
  <c r="L33" i="4"/>
  <c r="N33" i="4"/>
  <c r="L34" i="4"/>
  <c r="N34" i="4"/>
  <c r="L35" i="4"/>
  <c r="N35" i="4"/>
  <c r="L36" i="4"/>
  <c r="N36" i="4"/>
  <c r="L37" i="4"/>
  <c r="N37" i="4"/>
  <c r="L38" i="4"/>
  <c r="N38" i="4"/>
  <c r="L39" i="4"/>
  <c r="N39" i="4"/>
  <c r="L40" i="4"/>
  <c r="N40" i="4"/>
  <c r="L41" i="4"/>
  <c r="N41" i="4"/>
  <c r="L42" i="4"/>
  <c r="N42" i="4"/>
  <c r="L43" i="4"/>
  <c r="N43" i="4"/>
  <c r="L44" i="4"/>
  <c r="N44" i="4"/>
  <c r="L45" i="4"/>
  <c r="N45" i="4"/>
  <c r="L46" i="4"/>
  <c r="N46" i="4"/>
  <c r="L47" i="4"/>
  <c r="N47" i="4"/>
  <c r="L48" i="4"/>
  <c r="N48" i="4"/>
  <c r="L49" i="4"/>
  <c r="N49" i="4"/>
  <c r="L50" i="4"/>
  <c r="N50" i="4"/>
  <c r="L51" i="4"/>
  <c r="N51" i="4"/>
  <c r="L52" i="4"/>
  <c r="N52" i="4"/>
  <c r="L53" i="4"/>
  <c r="N53" i="4"/>
  <c r="L54" i="4"/>
  <c r="N54" i="4"/>
  <c r="L55" i="4"/>
  <c r="N55" i="4"/>
  <c r="L56" i="4"/>
  <c r="N56" i="4"/>
  <c r="L57" i="4"/>
  <c r="N57" i="4"/>
  <c r="L58" i="4"/>
  <c r="N58" i="4"/>
  <c r="L59" i="4"/>
  <c r="N59" i="4"/>
  <c r="L60" i="4"/>
  <c r="N60" i="4"/>
  <c r="L61" i="4"/>
  <c r="N61" i="4"/>
  <c r="L62" i="4"/>
  <c r="N62" i="4"/>
  <c r="L63" i="4"/>
  <c r="N63" i="4"/>
  <c r="L64" i="4"/>
  <c r="N64" i="4"/>
  <c r="L65" i="4"/>
  <c r="N65" i="4"/>
  <c r="L66" i="4"/>
  <c r="N66" i="4"/>
  <c r="L67" i="4"/>
  <c r="N67" i="4"/>
  <c r="L68" i="4"/>
  <c r="N68" i="4"/>
  <c r="L69" i="4"/>
  <c r="N69" i="4"/>
  <c r="L70" i="4"/>
  <c r="N70" i="4"/>
  <c r="L71" i="4"/>
  <c r="N71" i="4"/>
  <c r="L72" i="4"/>
  <c r="N72" i="4"/>
  <c r="L73" i="4"/>
  <c r="N73" i="4"/>
  <c r="D90" i="4"/>
  <c r="D92" i="4"/>
  <c r="J94" i="4"/>
  <c r="L94" i="4"/>
  <c r="D97" i="4"/>
  <c r="O100" i="4"/>
  <c r="P100" i="4" s="1"/>
  <c r="M101" i="4"/>
  <c r="P101" i="4"/>
  <c r="O101" i="4"/>
  <c r="M109" i="4"/>
  <c r="O109" i="4"/>
  <c r="M110" i="4"/>
  <c r="O110" i="4"/>
  <c r="M111" i="4"/>
  <c r="O111" i="4"/>
  <c r="M112" i="4"/>
  <c r="O112" i="4"/>
  <c r="M113" i="4"/>
  <c r="O113" i="4"/>
  <c r="M114" i="4"/>
  <c r="O114" i="4"/>
  <c r="M115" i="4"/>
  <c r="O115" i="4"/>
  <c r="M116" i="4"/>
  <c r="O116" i="4"/>
  <c r="M117" i="4"/>
  <c r="O117" i="4"/>
  <c r="M118" i="4"/>
  <c r="O118" i="4"/>
  <c r="M119" i="4"/>
  <c r="O119" i="4"/>
  <c r="M120" i="4"/>
  <c r="O120" i="4"/>
  <c r="M121" i="4"/>
  <c r="O121" i="4"/>
  <c r="M122" i="4"/>
  <c r="O122" i="4"/>
  <c r="M123" i="4"/>
  <c r="O123" i="4"/>
  <c r="M124" i="4"/>
  <c r="O124" i="4"/>
  <c r="M125" i="4"/>
  <c r="O125" i="4"/>
  <c r="M126" i="4"/>
  <c r="O126" i="4"/>
  <c r="M127" i="4"/>
  <c r="O127" i="4"/>
  <c r="M128" i="4"/>
  <c r="O128" i="4"/>
  <c r="M129" i="4"/>
  <c r="O129" i="4"/>
  <c r="M130" i="4"/>
  <c r="O130" i="4"/>
  <c r="M131" i="4"/>
  <c r="O131" i="4"/>
  <c r="M132" i="4"/>
  <c r="O132" i="4"/>
  <c r="M133" i="4"/>
  <c r="O133" i="4"/>
  <c r="M134" i="4"/>
  <c r="O134" i="4"/>
  <c r="M135" i="4"/>
  <c r="O135" i="4"/>
  <c r="M136" i="4"/>
  <c r="O136" i="4"/>
  <c r="M137" i="4"/>
  <c r="O137" i="4"/>
  <c r="M138" i="4"/>
  <c r="O138" i="4"/>
  <c r="M139" i="4"/>
  <c r="O139" i="4"/>
  <c r="M140" i="4"/>
  <c r="O140" i="4"/>
  <c r="M141" i="4"/>
  <c r="O141" i="4"/>
  <c r="M142" i="4"/>
  <c r="O142" i="4"/>
  <c r="M143" i="4"/>
  <c r="O143" i="4"/>
  <c r="M144" i="4"/>
  <c r="O144" i="4"/>
  <c r="M145" i="4"/>
  <c r="O145" i="4"/>
  <c r="M146" i="4"/>
  <c r="O146" i="4"/>
  <c r="M147" i="4"/>
  <c r="O147" i="4"/>
  <c r="M148" i="4"/>
  <c r="O148" i="4"/>
  <c r="M149" i="4"/>
  <c r="O149" i="4"/>
  <c r="M150" i="4"/>
  <c r="O150" i="4"/>
  <c r="M151" i="4"/>
  <c r="O151" i="4"/>
  <c r="M152" i="4"/>
  <c r="O152" i="4"/>
  <c r="M153" i="4"/>
  <c r="O153" i="4"/>
  <c r="M154" i="4"/>
  <c r="O154" i="4"/>
  <c r="M155" i="4"/>
  <c r="O155" i="4"/>
  <c r="K11" i="3"/>
  <c r="I17" i="3"/>
  <c r="L17" i="3"/>
  <c r="I18" i="3"/>
  <c r="N18" i="3"/>
  <c r="O18" i="3"/>
  <c r="L27" i="3"/>
  <c r="N27" i="3"/>
  <c r="L28" i="3"/>
  <c r="N28" i="3"/>
  <c r="L29" i="3"/>
  <c r="N29" i="3"/>
  <c r="L30" i="3"/>
  <c r="N30" i="3"/>
  <c r="L44" i="3"/>
  <c r="N44" i="3"/>
  <c r="L45" i="3"/>
  <c r="N45" i="3"/>
  <c r="L46" i="3"/>
  <c r="N46" i="3"/>
  <c r="L47" i="3"/>
  <c r="N47" i="3"/>
  <c r="L48" i="3"/>
  <c r="N48" i="3"/>
  <c r="L49" i="3"/>
  <c r="N49" i="3"/>
  <c r="L50" i="3"/>
  <c r="N50" i="3"/>
  <c r="L51" i="3"/>
  <c r="N51" i="3"/>
  <c r="L52" i="3"/>
  <c r="N52" i="3"/>
  <c r="L53" i="3"/>
  <c r="N53" i="3"/>
  <c r="L54" i="3"/>
  <c r="N54" i="3"/>
  <c r="L55" i="3"/>
  <c r="N55" i="3"/>
  <c r="L56" i="3"/>
  <c r="N56" i="3"/>
  <c r="L57" i="3"/>
  <c r="N57" i="3"/>
  <c r="L58" i="3"/>
  <c r="N58" i="3"/>
  <c r="L59" i="3"/>
  <c r="N59" i="3"/>
  <c r="L60" i="3"/>
  <c r="N60" i="3"/>
  <c r="L61" i="3"/>
  <c r="N61" i="3"/>
  <c r="L62" i="3"/>
  <c r="N62" i="3"/>
  <c r="L63" i="3"/>
  <c r="N63" i="3"/>
  <c r="L64" i="3"/>
  <c r="N64" i="3"/>
  <c r="L65" i="3"/>
  <c r="N65" i="3"/>
  <c r="L66" i="3"/>
  <c r="N66" i="3"/>
  <c r="L67" i="3"/>
  <c r="N67" i="3"/>
  <c r="L68" i="3"/>
  <c r="N68" i="3"/>
  <c r="L69" i="3"/>
  <c r="N69" i="3"/>
  <c r="L70" i="3"/>
  <c r="N70" i="3"/>
  <c r="L71" i="3"/>
  <c r="N71" i="3"/>
  <c r="L72" i="3"/>
  <c r="N72" i="3"/>
  <c r="L73" i="3"/>
  <c r="N73" i="3"/>
  <c r="D90" i="3"/>
  <c r="D92" i="3"/>
  <c r="J94" i="3"/>
  <c r="L94" i="3"/>
  <c r="D97" i="3"/>
  <c r="O100" i="3"/>
  <c r="M101" i="3"/>
  <c r="P101" i="3"/>
  <c r="O101" i="3"/>
  <c r="M109" i="3"/>
  <c r="O109" i="3"/>
  <c r="M110" i="3"/>
  <c r="O110" i="3"/>
  <c r="M111" i="3"/>
  <c r="O111" i="3"/>
  <c r="M112" i="3"/>
  <c r="O112" i="3"/>
  <c r="M113" i="3"/>
  <c r="O113" i="3"/>
  <c r="M114" i="3"/>
  <c r="O114" i="3"/>
  <c r="M115" i="3"/>
  <c r="O115" i="3"/>
  <c r="M116" i="3"/>
  <c r="O116" i="3"/>
  <c r="M117" i="3"/>
  <c r="O117" i="3"/>
  <c r="M118" i="3"/>
  <c r="O118" i="3"/>
  <c r="M119" i="3"/>
  <c r="O119" i="3"/>
  <c r="M120" i="3"/>
  <c r="O120" i="3"/>
  <c r="M121" i="3"/>
  <c r="O121" i="3"/>
  <c r="M122" i="3"/>
  <c r="O122" i="3"/>
  <c r="M123" i="3"/>
  <c r="O123" i="3"/>
  <c r="M124" i="3"/>
  <c r="O124" i="3"/>
  <c r="M125" i="3"/>
  <c r="O125" i="3"/>
  <c r="M126" i="3"/>
  <c r="O126" i="3"/>
  <c r="M127" i="3"/>
  <c r="O127" i="3"/>
  <c r="M128" i="3"/>
  <c r="O128" i="3"/>
  <c r="M129" i="3"/>
  <c r="O129" i="3"/>
  <c r="M130" i="3"/>
  <c r="O130" i="3"/>
  <c r="M131" i="3"/>
  <c r="O131" i="3"/>
  <c r="M132" i="3"/>
  <c r="O132" i="3"/>
  <c r="M133" i="3"/>
  <c r="O133" i="3"/>
  <c r="M134" i="3"/>
  <c r="O134" i="3"/>
  <c r="M135" i="3"/>
  <c r="O135" i="3"/>
  <c r="M136" i="3"/>
  <c r="O136" i="3"/>
  <c r="M137" i="3"/>
  <c r="O137" i="3"/>
  <c r="M138" i="3"/>
  <c r="O138" i="3"/>
  <c r="M139" i="3"/>
  <c r="O139" i="3"/>
  <c r="M140" i="3"/>
  <c r="O140" i="3"/>
  <c r="M141" i="3"/>
  <c r="O141" i="3"/>
  <c r="M142" i="3"/>
  <c r="O142" i="3"/>
  <c r="M143" i="3"/>
  <c r="O143" i="3"/>
  <c r="M144" i="3"/>
  <c r="O144" i="3"/>
  <c r="M145" i="3"/>
  <c r="O145" i="3"/>
  <c r="M146" i="3"/>
  <c r="O146" i="3"/>
  <c r="M147" i="3"/>
  <c r="O147" i="3"/>
  <c r="M148" i="3"/>
  <c r="O148" i="3"/>
  <c r="M149" i="3"/>
  <c r="O149" i="3"/>
  <c r="M150" i="3"/>
  <c r="O150" i="3"/>
  <c r="M151" i="3"/>
  <c r="O151" i="3"/>
  <c r="M152" i="3"/>
  <c r="O152" i="3"/>
  <c r="M153" i="3"/>
  <c r="O153" i="3"/>
  <c r="M154" i="3"/>
  <c r="O154" i="3"/>
  <c r="M155" i="3"/>
  <c r="O155" i="3"/>
  <c r="C40" i="2"/>
  <c r="C52" i="2"/>
  <c r="E24" i="1"/>
  <c r="E34" i="1"/>
  <c r="C38" i="1"/>
  <c r="C42" i="1"/>
  <c r="F43" i="1"/>
  <c r="C44" i="1"/>
  <c r="F45" i="1"/>
  <c r="C50" i="1"/>
  <c r="F62" i="1"/>
  <c r="C72" i="1"/>
  <c r="C86" i="1"/>
  <c r="S128" i="1"/>
  <c r="S129" i="1"/>
  <c r="S130" i="1"/>
  <c r="E31" i="2"/>
  <c r="D19" i="2"/>
  <c r="D18" i="2"/>
  <c r="D17" i="2"/>
  <c r="F13" i="2"/>
  <c r="C76" i="2" s="1"/>
  <c r="J100" i="4"/>
  <c r="J100" i="3"/>
  <c r="E18" i="2"/>
  <c r="E17" i="2"/>
  <c r="E24" i="2"/>
  <c r="F64" i="2"/>
  <c r="C90" i="2"/>
  <c r="C89" i="2"/>
  <c r="C64" i="2"/>
  <c r="C31" i="2"/>
  <c r="C24" i="2"/>
  <c r="C12" i="2"/>
  <c r="P100" i="18"/>
  <c r="B101" i="3"/>
  <c r="C101" i="3"/>
  <c r="C102" i="3" s="1"/>
  <c r="C103" i="3" s="1"/>
  <c r="C104" i="3" s="1"/>
  <c r="C105" i="3" s="1"/>
  <c r="C106" i="3" s="1"/>
  <c r="C107" i="3" s="1"/>
  <c r="C108" i="3" s="1"/>
  <c r="C109" i="3" s="1"/>
  <c r="C110" i="3" s="1"/>
  <c r="C111" i="3" s="1"/>
  <c r="C112" i="3" s="1"/>
  <c r="C113" i="3" s="1"/>
  <c r="C114" i="3" s="1"/>
  <c r="C115" i="3" s="1"/>
  <c r="C116" i="3" s="1"/>
  <c r="C117" i="3" s="1"/>
  <c r="C118" i="3" s="1"/>
  <c r="C119" i="3" s="1"/>
  <c r="C120" i="3" s="1"/>
  <c r="C121" i="3" s="1"/>
  <c r="C122" i="3" s="1"/>
  <c r="C123" i="3" s="1"/>
  <c r="C124" i="3" s="1"/>
  <c r="C125" i="3" s="1"/>
  <c r="C126" i="3" s="1"/>
  <c r="C127" i="3" s="1"/>
  <c r="C128" i="3" s="1"/>
  <c r="C129" i="3" s="1"/>
  <c r="C130" i="3" s="1"/>
  <c r="C131" i="3" s="1"/>
  <c r="C132" i="3" s="1"/>
  <c r="C133" i="3" s="1"/>
  <c r="C134" i="3" s="1"/>
  <c r="C135" i="3" s="1"/>
  <c r="C136" i="3" s="1"/>
  <c r="C137" i="3" s="1"/>
  <c r="C138" i="3" s="1"/>
  <c r="C139" i="3" s="1"/>
  <c r="C140" i="3" s="1"/>
  <c r="C141" i="3" s="1"/>
  <c r="C142" i="3" s="1"/>
  <c r="C143" i="3" s="1"/>
  <c r="C144" i="3" s="1"/>
  <c r="C145" i="3" s="1"/>
  <c r="C146" i="3" s="1"/>
  <c r="C147" i="3" s="1"/>
  <c r="C148" i="3" s="1"/>
  <c r="C149" i="3" s="1"/>
  <c r="C150" i="3" s="1"/>
  <c r="C151" i="3" s="1"/>
  <c r="C152" i="3" s="1"/>
  <c r="C153" i="3" s="1"/>
  <c r="C154" i="3" s="1"/>
  <c r="C155" i="3" s="1"/>
  <c r="B100" i="18"/>
  <c r="B19" i="19"/>
  <c r="B18" i="20"/>
  <c r="B100" i="19"/>
  <c r="B21" i="4"/>
  <c r="B20" i="4"/>
  <c r="B20" i="3"/>
  <c r="B18" i="21"/>
  <c r="B19" i="18"/>
  <c r="C100" i="21"/>
  <c r="C101" i="21" s="1"/>
  <c r="C102" i="21" s="1"/>
  <c r="C103" i="21" s="1"/>
  <c r="C104" i="21" s="1"/>
  <c r="C105" i="21" s="1"/>
  <c r="C106" i="21" s="1"/>
  <c r="C107" i="21" s="1"/>
  <c r="C108" i="21" s="1"/>
  <c r="C109" i="21" s="1"/>
  <c r="C110" i="21" s="1"/>
  <c r="C111" i="21" s="1"/>
  <c r="C112" i="21" s="1"/>
  <c r="C113" i="21" s="1"/>
  <c r="C114" i="21" s="1"/>
  <c r="C115" i="21" s="1"/>
  <c r="C116" i="21" s="1"/>
  <c r="C117" i="21" s="1"/>
  <c r="C118" i="21" s="1"/>
  <c r="C119" i="21" s="1"/>
  <c r="C120" i="21" s="1"/>
  <c r="C121" i="21" s="1"/>
  <c r="C122" i="21" s="1"/>
  <c r="C123" i="21" s="1"/>
  <c r="C124" i="21" s="1"/>
  <c r="C125" i="21" s="1"/>
  <c r="C126" i="21" s="1"/>
  <c r="C127" i="21" s="1"/>
  <c r="C128" i="21" s="1"/>
  <c r="C129" i="21" s="1"/>
  <c r="C130" i="21" s="1"/>
  <c r="C131" i="21" s="1"/>
  <c r="C132" i="21" s="1"/>
  <c r="C133" i="21" s="1"/>
  <c r="C134" i="21" s="1"/>
  <c r="C135" i="21" s="1"/>
  <c r="C136" i="21" s="1"/>
  <c r="C137" i="21" s="1"/>
  <c r="C138" i="21" s="1"/>
  <c r="C139" i="21" s="1"/>
  <c r="C140" i="21" s="1"/>
  <c r="C141" i="21" s="1"/>
  <c r="C142" i="21" s="1"/>
  <c r="C143" i="21" s="1"/>
  <c r="C144" i="21" s="1"/>
  <c r="C145" i="21" s="1"/>
  <c r="C146" i="21" s="1"/>
  <c r="C147" i="21" s="1"/>
  <c r="C148" i="21" s="1"/>
  <c r="C149" i="21" s="1"/>
  <c r="C150" i="21" s="1"/>
  <c r="C151" i="21" s="1"/>
  <c r="C152" i="21" s="1"/>
  <c r="C153" i="21" s="1"/>
  <c r="C154" i="21" s="1"/>
  <c r="C155" i="21" s="1"/>
  <c r="B100" i="21"/>
  <c r="B102" i="3"/>
  <c r="B101" i="19"/>
  <c r="B102" i="4"/>
  <c r="B101" i="18"/>
  <c r="B101" i="21"/>
  <c r="B20" i="19"/>
  <c r="B20" i="18"/>
  <c r="B22" i="3"/>
  <c r="B20" i="21"/>
  <c r="B21" i="19"/>
  <c r="B103" i="4"/>
  <c r="B103" i="3"/>
  <c r="B102" i="19"/>
  <c r="B102" i="21"/>
  <c r="P102" i="19"/>
  <c r="O20" i="19"/>
  <c r="O20" i="18"/>
  <c r="B22" i="4"/>
  <c r="B23" i="3"/>
  <c r="C100" i="24"/>
  <c r="C101" i="24"/>
  <c r="C102" i="24" s="1"/>
  <c r="C103" i="24" s="1"/>
  <c r="C104" i="24" s="1"/>
  <c r="C105" i="24" s="1"/>
  <c r="C106" i="24" s="1"/>
  <c r="C107" i="24" s="1"/>
  <c r="C108" i="24" s="1"/>
  <c r="C109" i="24" s="1"/>
  <c r="C110" i="24" s="1"/>
  <c r="C111" i="24" s="1"/>
  <c r="C112" i="24" s="1"/>
  <c r="C113" i="24" s="1"/>
  <c r="C114" i="24" s="1"/>
  <c r="C115" i="24" s="1"/>
  <c r="C116" i="24" s="1"/>
  <c r="C117" i="24" s="1"/>
  <c r="C118" i="24" s="1"/>
  <c r="C119" i="24" s="1"/>
  <c r="C120" i="24" s="1"/>
  <c r="C121" i="24" s="1"/>
  <c r="C122" i="24" s="1"/>
  <c r="C123" i="24" s="1"/>
  <c r="C124" i="24" s="1"/>
  <c r="C125" i="24" s="1"/>
  <c r="C126" i="24" s="1"/>
  <c r="C127" i="24" s="1"/>
  <c r="B23" i="4"/>
  <c r="B102" i="18"/>
  <c r="M17" i="28"/>
  <c r="N17" i="28" s="1"/>
  <c r="K17" i="28"/>
  <c r="L17" i="28" s="1"/>
  <c r="C100" i="27"/>
  <c r="C101" i="27" s="1"/>
  <c r="C102" i="27" s="1"/>
  <c r="C103" i="27" s="1"/>
  <c r="C104" i="27" s="1"/>
  <c r="C105" i="27" s="1"/>
  <c r="C106" i="27" s="1"/>
  <c r="C107" i="27" s="1"/>
  <c r="C108" i="27" s="1"/>
  <c r="C109" i="27" s="1"/>
  <c r="C110" i="27" s="1"/>
  <c r="C111" i="27" s="1"/>
  <c r="C112" i="27" s="1"/>
  <c r="C113" i="27" s="1"/>
  <c r="C114" i="27" s="1"/>
  <c r="C115" i="27" s="1"/>
  <c r="C116" i="27" s="1"/>
  <c r="C117" i="27" s="1"/>
  <c r="C118" i="27" s="1"/>
  <c r="C119" i="27" s="1"/>
  <c r="C120" i="27" s="1"/>
  <c r="C121" i="27" s="1"/>
  <c r="C122" i="27" s="1"/>
  <c r="C123" i="27" s="1"/>
  <c r="C124" i="27" s="1"/>
  <c r="C125" i="27" s="1"/>
  <c r="C126" i="27" s="1"/>
  <c r="C127" i="27" s="1"/>
  <c r="C128" i="27" s="1"/>
  <c r="C129" i="27" s="1"/>
  <c r="C130" i="27" s="1"/>
  <c r="C131" i="27" s="1"/>
  <c r="C132" i="27" s="1"/>
  <c r="C133" i="27" s="1"/>
  <c r="C134" i="27" s="1"/>
  <c r="C135" i="27" s="1"/>
  <c r="C136" i="27" s="1"/>
  <c r="C137" i="27" s="1"/>
  <c r="C138" i="27" s="1"/>
  <c r="C139" i="27" s="1"/>
  <c r="C140" i="27" s="1"/>
  <c r="C141" i="27" s="1"/>
  <c r="C142" i="27" s="1"/>
  <c r="C143" i="27" s="1"/>
  <c r="C144" i="27" s="1"/>
  <c r="C145" i="27" s="1"/>
  <c r="C146" i="27" s="1"/>
  <c r="C147" i="27" s="1"/>
  <c r="C148" i="27" s="1"/>
  <c r="C149" i="27" s="1"/>
  <c r="C150" i="27" s="1"/>
  <c r="C151" i="27" s="1"/>
  <c r="C152" i="27" s="1"/>
  <c r="C153" i="27" s="1"/>
  <c r="C154" i="27" s="1"/>
  <c r="C155" i="27" s="1"/>
  <c r="C100" i="26"/>
  <c r="C101" i="26" s="1"/>
  <c r="C102" i="26" s="1"/>
  <c r="C103" i="26" s="1"/>
  <c r="C104" i="26" s="1"/>
  <c r="C105" i="26" s="1"/>
  <c r="C106" i="26" s="1"/>
  <c r="C107" i="26" s="1"/>
  <c r="C108" i="26" s="1"/>
  <c r="C109" i="26" s="1"/>
  <c r="C110" i="26" s="1"/>
  <c r="C111" i="26" s="1"/>
  <c r="C112" i="26" s="1"/>
  <c r="C113" i="26" s="1"/>
  <c r="C114" i="26" s="1"/>
  <c r="C115" i="26" s="1"/>
  <c r="C116" i="26" s="1"/>
  <c r="C117" i="26" s="1"/>
  <c r="C118" i="26" s="1"/>
  <c r="C119" i="26" s="1"/>
  <c r="C120" i="26" s="1"/>
  <c r="C121" i="26" s="1"/>
  <c r="C122" i="26" s="1"/>
  <c r="C123" i="26" s="1"/>
  <c r="C124" i="26" s="1"/>
  <c r="C125" i="26" s="1"/>
  <c r="C126" i="26" s="1"/>
  <c r="C127" i="26" s="1"/>
  <c r="C128" i="26" s="1"/>
  <c r="C129" i="26" s="1"/>
  <c r="C130" i="26" s="1"/>
  <c r="C131" i="26" s="1"/>
  <c r="C132" i="26" s="1"/>
  <c r="C133" i="26" s="1"/>
  <c r="C134" i="26" s="1"/>
  <c r="C135" i="26" s="1"/>
  <c r="C136" i="26" s="1"/>
  <c r="C137" i="26" s="1"/>
  <c r="C138" i="26" s="1"/>
  <c r="C139" i="26" s="1"/>
  <c r="C140" i="26" s="1"/>
  <c r="C141" i="26" s="1"/>
  <c r="C142" i="26" s="1"/>
  <c r="C143" i="26" s="1"/>
  <c r="C144" i="26" s="1"/>
  <c r="C145" i="26" s="1"/>
  <c r="C146" i="26" s="1"/>
  <c r="C147" i="26" s="1"/>
  <c r="C148" i="26" s="1"/>
  <c r="C149" i="26" s="1"/>
  <c r="C150" i="26" s="1"/>
  <c r="C151" i="26" s="1"/>
  <c r="C152" i="26" s="1"/>
  <c r="C153" i="26" s="1"/>
  <c r="C154" i="26" s="1"/>
  <c r="C155" i="26" s="1"/>
  <c r="J102" i="18"/>
  <c r="I22" i="3"/>
  <c r="B105" i="3"/>
  <c r="B104" i="3"/>
  <c r="B103" i="18"/>
  <c r="B104" i="4"/>
  <c r="B100" i="25"/>
  <c r="I13" i="17"/>
  <c r="E13" i="17"/>
  <c r="H3" i="17"/>
  <c r="T14" i="17"/>
  <c r="B105" i="4"/>
  <c r="B103" i="19"/>
  <c r="B22" i="18"/>
  <c r="P100" i="28"/>
  <c r="P101" i="27"/>
  <c r="P100" i="26"/>
  <c r="P100" i="24"/>
  <c r="B104" i="19"/>
  <c r="P105" i="4"/>
  <c r="O20" i="3"/>
  <c r="O21" i="3"/>
  <c r="O100" i="31"/>
  <c r="J105" i="4"/>
  <c r="B104" i="18"/>
  <c r="O19" i="22"/>
  <c r="O19" i="23"/>
  <c r="O18" i="25"/>
  <c r="O20" i="24"/>
  <c r="O19" i="26"/>
  <c r="O22" i="18"/>
  <c r="O20" i="21"/>
  <c r="O20" i="28"/>
  <c r="O17" i="29"/>
  <c r="B20" i="26"/>
  <c r="O20" i="27"/>
  <c r="O23" i="3"/>
  <c r="O22" i="19"/>
  <c r="B103" i="24"/>
  <c r="B20" i="22"/>
  <c r="B20" i="23"/>
  <c r="B21" i="27"/>
  <c r="B102" i="26"/>
  <c r="J104" i="18"/>
  <c r="I20" i="27"/>
  <c r="I20" i="28"/>
  <c r="I19" i="26"/>
  <c r="I19" i="22"/>
  <c r="B21" i="21"/>
  <c r="B23" i="19"/>
  <c r="I23" i="3"/>
  <c r="B105" i="19"/>
  <c r="I22" i="18"/>
  <c r="I17" i="29"/>
  <c r="B24" i="3"/>
  <c r="B21" i="24"/>
  <c r="I19" i="23"/>
  <c r="I22" i="19"/>
  <c r="I20" i="24"/>
  <c r="B23" i="18"/>
  <c r="I20" i="21"/>
  <c r="B24" i="4"/>
  <c r="I23" i="4"/>
  <c r="J105" i="3"/>
  <c r="I18" i="25"/>
  <c r="B17" i="35"/>
  <c r="C45" i="34"/>
  <c r="C46" i="34" s="1"/>
  <c r="C47" i="34" s="1"/>
  <c r="C48" i="34" s="1"/>
  <c r="C49" i="34" s="1"/>
  <c r="C50" i="34" s="1"/>
  <c r="C51" i="34" s="1"/>
  <c r="C52" i="34" s="1"/>
  <c r="C53" i="34" s="1"/>
  <c r="C54" i="34" s="1"/>
  <c r="C55" i="34" s="1"/>
  <c r="C56" i="34" s="1"/>
  <c r="C57" i="34" s="1"/>
  <c r="C58" i="34" s="1"/>
  <c r="C59" i="34" s="1"/>
  <c r="C60" i="34" s="1"/>
  <c r="C61" i="34" s="1"/>
  <c r="C62" i="34" s="1"/>
  <c r="C63" i="34" s="1"/>
  <c r="C64" i="34" s="1"/>
  <c r="C65" i="34" s="1"/>
  <c r="C66" i="34" s="1"/>
  <c r="C67" i="34" s="1"/>
  <c r="C68" i="34" s="1"/>
  <c r="C69" i="34" s="1"/>
  <c r="C70" i="34" s="1"/>
  <c r="C71" i="34" s="1"/>
  <c r="C72" i="34" s="1"/>
  <c r="B19" i="25"/>
  <c r="B103" i="28"/>
  <c r="B103" i="27"/>
  <c r="P102" i="27"/>
  <c r="P102" i="24"/>
  <c r="P100" i="25"/>
  <c r="B101" i="25"/>
  <c r="P101" i="23"/>
  <c r="B103" i="21"/>
  <c r="P105" i="3"/>
  <c r="C18" i="13"/>
  <c r="C19" i="13" s="1"/>
  <c r="C20" i="13" s="1"/>
  <c r="C21" i="13" s="1"/>
  <c r="C22" i="13" s="1"/>
  <c r="C23" i="13" s="1"/>
  <c r="C24" i="13" s="1"/>
  <c r="C25" i="13" s="1"/>
  <c r="C26" i="13" s="1"/>
  <c r="C27" i="13" s="1"/>
  <c r="C28" i="13" s="1"/>
  <c r="C29" i="13" s="1"/>
  <c r="C30" i="13" s="1"/>
  <c r="C31" i="13" s="1"/>
  <c r="C32" i="13" s="1"/>
  <c r="C33" i="13" s="1"/>
  <c r="C34" i="13" s="1"/>
  <c r="C35" i="13" s="1"/>
  <c r="C36" i="13" s="1"/>
  <c r="C37" i="13" s="1"/>
  <c r="C38" i="13" s="1"/>
  <c r="C39" i="13" s="1"/>
  <c r="C40" i="13" s="1"/>
  <c r="C41" i="13" s="1"/>
  <c r="C42" i="13" s="1"/>
  <c r="C43" i="13" s="1"/>
  <c r="C44" i="13" s="1"/>
  <c r="C45" i="13" s="1"/>
  <c r="C46" i="13" s="1"/>
  <c r="C47" i="13" s="1"/>
  <c r="C48" i="13" s="1"/>
  <c r="C49" i="13" s="1"/>
  <c r="C50" i="13" s="1"/>
  <c r="C51" i="13" s="1"/>
  <c r="C52" i="13" s="1"/>
  <c r="C53" i="13" s="1"/>
  <c r="C54" i="13" s="1"/>
  <c r="C55" i="13" s="1"/>
  <c r="C56" i="13" s="1"/>
  <c r="C57" i="13" s="1"/>
  <c r="C58" i="13" s="1"/>
  <c r="C59" i="13" s="1"/>
  <c r="C60" i="13" s="1"/>
  <c r="C61" i="13" s="1"/>
  <c r="C62" i="13" s="1"/>
  <c r="C63" i="13" s="1"/>
  <c r="C64" i="13" s="1"/>
  <c r="C65" i="13" s="1"/>
  <c r="C66" i="13" s="1"/>
  <c r="C67" i="13" s="1"/>
  <c r="C68" i="13" s="1"/>
  <c r="C69" i="13" s="1"/>
  <c r="C70" i="13" s="1"/>
  <c r="C71" i="13" s="1"/>
  <c r="C72" i="13" s="1"/>
  <c r="B17" i="13"/>
  <c r="I14" i="13"/>
  <c r="E17" i="13"/>
  <c r="F17" i="13" s="1"/>
  <c r="D18" i="13" s="1"/>
  <c r="B18" i="13" s="1"/>
  <c r="B102" i="22"/>
  <c r="A5" i="2"/>
  <c r="C28" i="2"/>
  <c r="D94" i="4"/>
  <c r="C100" i="4" s="1"/>
  <c r="C101" i="4" s="1"/>
  <c r="C102" i="4" s="1"/>
  <c r="C103" i="4" s="1"/>
  <c r="C104" i="4" s="1"/>
  <c r="C105" i="4" s="1"/>
  <c r="C106" i="4" s="1"/>
  <c r="C107" i="4" s="1"/>
  <c r="C108" i="4" s="1"/>
  <c r="C109" i="4" s="1"/>
  <c r="C110" i="4" s="1"/>
  <c r="C111" i="4" s="1"/>
  <c r="C112" i="4" s="1"/>
  <c r="C113" i="4" s="1"/>
  <c r="C114" i="4" s="1"/>
  <c r="C115" i="4" s="1"/>
  <c r="C116" i="4" s="1"/>
  <c r="C117" i="4" s="1"/>
  <c r="C118" i="4" s="1"/>
  <c r="C119" i="4" s="1"/>
  <c r="C120" i="4" s="1"/>
  <c r="C121" i="4" s="1"/>
  <c r="C122" i="4" s="1"/>
  <c r="C123" i="4" s="1"/>
  <c r="C124" i="4" s="1"/>
  <c r="C125" i="4" s="1"/>
  <c r="C126" i="4" s="1"/>
  <c r="C127" i="4" s="1"/>
  <c r="D95" i="4"/>
  <c r="I12" i="21"/>
  <c r="I13" i="21" s="1"/>
  <c r="B104" i="27"/>
  <c r="B103" i="26"/>
  <c r="B104" i="21"/>
  <c r="B106" i="19"/>
  <c r="B104" i="28"/>
  <c r="B22" i="24"/>
  <c r="B24" i="19"/>
  <c r="B21" i="23"/>
  <c r="B18" i="34"/>
  <c r="J103" i="24"/>
  <c r="J103" i="28"/>
  <c r="J102" i="26"/>
  <c r="J101" i="25"/>
  <c r="J103" i="27"/>
  <c r="J103" i="21"/>
  <c r="J105" i="19"/>
  <c r="B25" i="4"/>
  <c r="I17" i="34"/>
  <c r="I23" i="18"/>
  <c r="I23" i="19"/>
  <c r="I17" i="31"/>
  <c r="I21" i="24"/>
  <c r="I18" i="29"/>
  <c r="I24" i="3"/>
  <c r="I20" i="26"/>
  <c r="B18" i="31"/>
  <c r="I19" i="25"/>
  <c r="I21" i="21"/>
  <c r="B25" i="3"/>
  <c r="I20" i="23"/>
  <c r="I21" i="27"/>
  <c r="I24" i="4"/>
  <c r="P100" i="29"/>
  <c r="L18" i="29"/>
  <c r="O18" i="29" s="1"/>
  <c r="P103" i="28"/>
  <c r="B22" i="28"/>
  <c r="P103" i="27"/>
  <c r="B22" i="27"/>
  <c r="P102" i="26"/>
  <c r="N20" i="26"/>
  <c r="O20" i="26"/>
  <c r="P101" i="24"/>
  <c r="B102" i="24"/>
  <c r="B104" i="24"/>
  <c r="N21" i="24"/>
  <c r="O21" i="24"/>
  <c r="B102" i="25"/>
  <c r="O19" i="25"/>
  <c r="B21" i="22"/>
  <c r="B22" i="21"/>
  <c r="P105" i="19"/>
  <c r="P106" i="4"/>
  <c r="I17" i="35"/>
  <c r="I21" i="28"/>
  <c r="B106" i="3"/>
  <c r="B107" i="4"/>
  <c r="B105" i="18"/>
  <c r="J106" i="4"/>
  <c r="J100" i="29"/>
  <c r="J106" i="3"/>
  <c r="J102" i="23"/>
  <c r="J102" i="22"/>
  <c r="J105" i="18"/>
  <c r="J97" i="13"/>
  <c r="D94" i="34"/>
  <c r="C100" i="34" s="1"/>
  <c r="C101" i="34" s="1"/>
  <c r="C102" i="34" s="1"/>
  <c r="C103" i="34" s="1"/>
  <c r="C104" i="34" s="1"/>
  <c r="C105" i="34" s="1"/>
  <c r="C106" i="34" s="1"/>
  <c r="C107" i="34" s="1"/>
  <c r="C108" i="34" s="1"/>
  <c r="C109" i="34" s="1"/>
  <c r="C110" i="34" s="1"/>
  <c r="C111" i="34" s="1"/>
  <c r="C112" i="34" s="1"/>
  <c r="C113" i="34" s="1"/>
  <c r="C114" i="34" s="1"/>
  <c r="C115" i="34" s="1"/>
  <c r="C116" i="34" s="1"/>
  <c r="C117" i="34" s="1"/>
  <c r="C118" i="34" s="1"/>
  <c r="C119" i="34" s="1"/>
  <c r="C120" i="34" s="1"/>
  <c r="C121" i="34" s="1"/>
  <c r="C122" i="34" s="1"/>
  <c r="C123" i="34" s="1"/>
  <c r="C124" i="34" s="1"/>
  <c r="C125" i="34" s="1"/>
  <c r="C126" i="34" s="1"/>
  <c r="C127" i="34" s="1"/>
  <c r="B107" i="3"/>
  <c r="O72" i="13"/>
  <c r="D17" i="1"/>
  <c r="E17" i="1"/>
  <c r="I12" i="26"/>
  <c r="I13" i="26" s="1"/>
  <c r="C59" i="1"/>
  <c r="I10" i="18"/>
  <c r="D95" i="18" s="1"/>
  <c r="I10" i="22"/>
  <c r="D93" i="22" s="1"/>
  <c r="B104" i="22" s="1"/>
  <c r="I10" i="26"/>
  <c r="I10" i="29"/>
  <c r="D95" i="29" s="1"/>
  <c r="E100" i="13"/>
  <c r="B100" i="34"/>
  <c r="B103" i="22"/>
  <c r="E18" i="1"/>
  <c r="E38" i="17"/>
  <c r="B100" i="35"/>
  <c r="J95" i="27"/>
  <c r="J96" i="27" s="1"/>
  <c r="C128" i="24"/>
  <c r="C129" i="24" s="1"/>
  <c r="C130" i="24" s="1"/>
  <c r="C131" i="24" s="1"/>
  <c r="C132" i="24" s="1"/>
  <c r="C133" i="24" s="1"/>
  <c r="C134" i="24" s="1"/>
  <c r="C135" i="24" s="1"/>
  <c r="C136" i="24" s="1"/>
  <c r="C137" i="24" s="1"/>
  <c r="C138" i="24" s="1"/>
  <c r="C139" i="24" s="1"/>
  <c r="C140" i="24" s="1"/>
  <c r="C141" i="24" s="1"/>
  <c r="C142" i="24" s="1"/>
  <c r="C143" i="24" s="1"/>
  <c r="C144" i="24" s="1"/>
  <c r="C145" i="24" s="1"/>
  <c r="C146" i="24" s="1"/>
  <c r="C147" i="24" s="1"/>
  <c r="C148" i="24" s="1"/>
  <c r="C149" i="24" s="1"/>
  <c r="C150" i="24" s="1"/>
  <c r="C151" i="24" s="1"/>
  <c r="C152" i="24" s="1"/>
  <c r="C153" i="24" s="1"/>
  <c r="C154" i="24" s="1"/>
  <c r="C155" i="24" s="1"/>
  <c r="B24" i="18"/>
  <c r="B21" i="26"/>
  <c r="B20" i="25"/>
  <c r="D93" i="18"/>
  <c r="B107" i="18" s="1"/>
  <c r="B18" i="35"/>
  <c r="O20" i="4"/>
  <c r="P100" i="21"/>
  <c r="P38" i="17"/>
  <c r="P101" i="18"/>
  <c r="P103" i="3"/>
  <c r="P103" i="4"/>
  <c r="P101" i="21"/>
  <c r="O21" i="4"/>
  <c r="O17" i="26"/>
  <c r="O18" i="28"/>
  <c r="O19" i="21"/>
  <c r="P100" i="22"/>
  <c r="O19" i="24"/>
  <c r="O17" i="25"/>
  <c r="C100" i="31"/>
  <c r="C101" i="31" s="1"/>
  <c r="C102" i="31" s="1"/>
  <c r="C103" i="31" s="1"/>
  <c r="C104" i="31" s="1"/>
  <c r="C105" i="31" s="1"/>
  <c r="C106" i="31" s="1"/>
  <c r="C107" i="31" s="1"/>
  <c r="C108" i="31" s="1"/>
  <c r="C109" i="31" s="1"/>
  <c r="C110" i="31" s="1"/>
  <c r="C111" i="31" s="1"/>
  <c r="C112" i="31" s="1"/>
  <c r="C113" i="31" s="1"/>
  <c r="C114" i="31" s="1"/>
  <c r="C115" i="31" s="1"/>
  <c r="C116" i="31" s="1"/>
  <c r="C117" i="31" s="1"/>
  <c r="C118" i="31" s="1"/>
  <c r="C119" i="31" s="1"/>
  <c r="C120" i="31" s="1"/>
  <c r="C121" i="31" s="1"/>
  <c r="C122" i="31" s="1"/>
  <c r="C123" i="31" s="1"/>
  <c r="C124" i="31" s="1"/>
  <c r="C125" i="31" s="1"/>
  <c r="C126" i="31" s="1"/>
  <c r="C127" i="31" s="1"/>
  <c r="C128" i="31" s="1"/>
  <c r="C129" i="31" s="1"/>
  <c r="C130" i="31" s="1"/>
  <c r="C131" i="31" s="1"/>
  <c r="C132" i="31" s="1"/>
  <c r="C133" i="31" s="1"/>
  <c r="C134" i="31" s="1"/>
  <c r="C135" i="31" s="1"/>
  <c r="C136" i="31" s="1"/>
  <c r="C137" i="31" s="1"/>
  <c r="C138" i="31" s="1"/>
  <c r="C139" i="31" s="1"/>
  <c r="C140" i="31" s="1"/>
  <c r="C141" i="31" s="1"/>
  <c r="C142" i="31" s="1"/>
  <c r="C143" i="31" s="1"/>
  <c r="C144" i="31" s="1"/>
  <c r="C145" i="31" s="1"/>
  <c r="C146" i="31" s="1"/>
  <c r="C147" i="31" s="1"/>
  <c r="C148" i="31" s="1"/>
  <c r="C149" i="31" s="1"/>
  <c r="C150" i="31" s="1"/>
  <c r="C151" i="31" s="1"/>
  <c r="C152" i="31" s="1"/>
  <c r="C153" i="31" s="1"/>
  <c r="C154" i="31" s="1"/>
  <c r="C155" i="31" s="1"/>
  <c r="B100" i="31"/>
  <c r="O24" i="4"/>
  <c r="P103" i="21"/>
  <c r="O20" i="22"/>
  <c r="O20" i="23"/>
  <c r="B106" i="18"/>
  <c r="B105" i="21"/>
  <c r="B101" i="35"/>
  <c r="B107" i="19"/>
  <c r="B105" i="27"/>
  <c r="B108" i="4"/>
  <c r="B26" i="3"/>
  <c r="B25" i="19"/>
  <c r="B101" i="34"/>
  <c r="B105" i="28"/>
  <c r="B22" i="22"/>
  <c r="B25" i="18"/>
  <c r="J100" i="31"/>
  <c r="B23" i="21"/>
  <c r="B23" i="24"/>
  <c r="B22" i="23"/>
  <c r="B22" i="26"/>
  <c r="B26" i="4"/>
  <c r="B104" i="26"/>
  <c r="J102" i="25"/>
  <c r="J104" i="24"/>
  <c r="J100" i="35"/>
  <c r="J107" i="4"/>
  <c r="I18" i="34"/>
  <c r="B23" i="28"/>
  <c r="I19" i="29"/>
  <c r="J101" i="29"/>
  <c r="I18" i="31"/>
  <c r="I25" i="4"/>
  <c r="J103" i="22"/>
  <c r="I17" i="37"/>
  <c r="J104" i="21"/>
  <c r="I25" i="3"/>
  <c r="J100" i="34"/>
  <c r="J107" i="3"/>
  <c r="J106" i="18"/>
  <c r="C100" i="38"/>
  <c r="P100" i="35"/>
  <c r="O17" i="35"/>
  <c r="P100" i="34"/>
  <c r="B101" i="31"/>
  <c r="P100" i="31"/>
  <c r="P103" i="26"/>
  <c r="B105" i="24"/>
  <c r="B103" i="25"/>
  <c r="I18" i="35"/>
  <c r="D93" i="23"/>
  <c r="D95" i="23"/>
  <c r="D94" i="23"/>
  <c r="C100" i="23" s="1"/>
  <c r="C101" i="23" s="1"/>
  <c r="C102" i="23" s="1"/>
  <c r="C103" i="23" s="1"/>
  <c r="C104" i="23" s="1"/>
  <c r="C105" i="23" s="1"/>
  <c r="C106" i="23" s="1"/>
  <c r="C107" i="23" s="1"/>
  <c r="C108" i="23" s="1"/>
  <c r="C109" i="23" s="1"/>
  <c r="C110" i="23" s="1"/>
  <c r="C111" i="23" s="1"/>
  <c r="C112" i="23" s="1"/>
  <c r="C113" i="23" s="1"/>
  <c r="C114" i="23" s="1"/>
  <c r="C115" i="23" s="1"/>
  <c r="C116" i="23" s="1"/>
  <c r="C117" i="23" s="1"/>
  <c r="C118" i="23" s="1"/>
  <c r="C119" i="23" s="1"/>
  <c r="C120" i="23" s="1"/>
  <c r="C121" i="23" s="1"/>
  <c r="C122" i="23" s="1"/>
  <c r="C123" i="23" s="1"/>
  <c r="C124" i="23" s="1"/>
  <c r="C125" i="23" s="1"/>
  <c r="C126" i="23" s="1"/>
  <c r="C127" i="23" s="1"/>
  <c r="B19" i="34"/>
  <c r="O64" i="34"/>
  <c r="J95" i="20"/>
  <c r="J96" i="20" s="1"/>
  <c r="J95" i="29"/>
  <c r="J96" i="29" s="1"/>
  <c r="F52" i="2"/>
  <c r="J96" i="31"/>
  <c r="J95" i="18"/>
  <c r="J96" i="18" s="1"/>
  <c r="J95" i="38"/>
  <c r="J95" i="34"/>
  <c r="J96" i="34" s="1"/>
  <c r="J95" i="28"/>
  <c r="J96" i="28" s="1"/>
  <c r="J95" i="4"/>
  <c r="J96" i="4" s="1"/>
  <c r="J95" i="37"/>
  <c r="J96" i="37" s="1"/>
  <c r="J95" i="3"/>
  <c r="J96" i="3" s="1"/>
  <c r="J95" i="23"/>
  <c r="J96" i="23" s="1"/>
  <c r="J95" i="19"/>
  <c r="J95" i="22"/>
  <c r="J96" i="22" s="1"/>
  <c r="J95" i="24"/>
  <c r="J96" i="24" s="1"/>
  <c r="J95" i="26"/>
  <c r="J96" i="26" s="1"/>
  <c r="J95" i="35"/>
  <c r="J96" i="35" s="1"/>
  <c r="J95" i="25"/>
  <c r="J96" i="25" s="1"/>
  <c r="J95" i="21"/>
  <c r="J96" i="21" s="1"/>
  <c r="J95" i="13"/>
  <c r="J96" i="13" s="1"/>
  <c r="J96" i="19"/>
  <c r="E45" i="17"/>
  <c r="C45" i="17"/>
  <c r="O45" i="17"/>
  <c r="N45" i="17"/>
  <c r="F45" i="17"/>
  <c r="C59" i="2" l="1"/>
  <c r="C77" i="2"/>
  <c r="C50" i="2"/>
  <c r="C14" i="2"/>
  <c r="O18" i="35"/>
  <c r="O18" i="34"/>
  <c r="O18" i="31"/>
  <c r="O25" i="4"/>
  <c r="B108" i="3"/>
  <c r="D109" i="3"/>
  <c r="N6" i="34"/>
  <c r="D94" i="18"/>
  <c r="C100" i="18" s="1"/>
  <c r="C101" i="18" s="1"/>
  <c r="C102" i="18" s="1"/>
  <c r="C103" i="18" s="1"/>
  <c r="C104" i="18" s="1"/>
  <c r="C105" i="18" s="1"/>
  <c r="C106" i="18" s="1"/>
  <c r="C107" i="18" s="1"/>
  <c r="C108" i="18" s="1"/>
  <c r="C109" i="18" s="1"/>
  <c r="C110" i="18" s="1"/>
  <c r="C111" i="18" s="1"/>
  <c r="C112" i="18" s="1"/>
  <c r="C113" i="18" s="1"/>
  <c r="C114" i="18" s="1"/>
  <c r="C115" i="18" s="1"/>
  <c r="C116" i="18" s="1"/>
  <c r="C117" i="18" s="1"/>
  <c r="C118" i="18" s="1"/>
  <c r="C119" i="18" s="1"/>
  <c r="C120" i="18" s="1"/>
  <c r="C121" i="18" s="1"/>
  <c r="C122" i="18" s="1"/>
  <c r="C123" i="18" s="1"/>
  <c r="C124" i="18" s="1"/>
  <c r="C125" i="18" s="1"/>
  <c r="C126" i="18" s="1"/>
  <c r="C127" i="18" s="1"/>
  <c r="D94" i="20"/>
  <c r="C100" i="20" s="1"/>
  <c r="C101" i="20" s="1"/>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O17" i="37"/>
  <c r="O50" i="19"/>
  <c r="O29" i="19"/>
  <c r="O46" i="35"/>
  <c r="O33" i="21"/>
  <c r="O36" i="35"/>
  <c r="O62" i="37"/>
  <c r="O64" i="37"/>
  <c r="O66" i="37"/>
  <c r="O22" i="28"/>
  <c r="O64" i="24"/>
  <c r="O20" i="25"/>
  <c r="O67" i="25"/>
  <c r="P124" i="31"/>
  <c r="O38" i="35"/>
  <c r="O67" i="26"/>
  <c r="O45" i="38"/>
  <c r="O47" i="38"/>
  <c r="O51" i="38"/>
  <c r="O55" i="38"/>
  <c r="O57" i="38"/>
  <c r="O59" i="38"/>
  <c r="O63" i="38"/>
  <c r="O65" i="38"/>
  <c r="O67" i="38"/>
  <c r="O71" i="38"/>
  <c r="O47" i="13"/>
  <c r="O29" i="13"/>
  <c r="O33" i="25"/>
  <c r="O33" i="26"/>
  <c r="O33" i="28"/>
  <c r="O25" i="38"/>
  <c r="F46" i="1"/>
  <c r="F50" i="1" s="1"/>
  <c r="N5" i="34"/>
  <c r="D95" i="20"/>
  <c r="E100" i="20"/>
  <c r="F100" i="20" s="1"/>
  <c r="O30" i="23"/>
  <c r="O52" i="23"/>
  <c r="O54" i="23"/>
  <c r="O66" i="23"/>
  <c r="O28" i="24"/>
  <c r="O62" i="24"/>
  <c r="O72" i="24"/>
  <c r="O24" i="25"/>
  <c r="O26" i="25"/>
  <c r="O28" i="25"/>
  <c r="O30" i="25"/>
  <c r="O36" i="25"/>
  <c r="O38" i="25"/>
  <c r="O44" i="25"/>
  <c r="O64" i="25"/>
  <c r="O66" i="25"/>
  <c r="O68" i="25"/>
  <c r="O70" i="25"/>
  <c r="O23" i="26"/>
  <c r="O25" i="26"/>
  <c r="O41" i="26"/>
  <c r="O43" i="26"/>
  <c r="O53" i="26"/>
  <c r="O48" i="27"/>
  <c r="O21" i="37"/>
  <c r="O27" i="37"/>
  <c r="O73" i="37"/>
  <c r="O69" i="38"/>
  <c r="C48" i="1"/>
  <c r="C71" i="1"/>
  <c r="C74" i="1"/>
  <c r="D94" i="19"/>
  <c r="C100" i="19" s="1"/>
  <c r="C101" i="19" s="1"/>
  <c r="C102" i="19" s="1"/>
  <c r="C103" i="19" s="1"/>
  <c r="C104" i="19" s="1"/>
  <c r="C105" i="19" s="1"/>
  <c r="C106" i="19" s="1"/>
  <c r="C107" i="19" s="1"/>
  <c r="C108" i="19" s="1"/>
  <c r="C109" i="19" s="1"/>
  <c r="C110" i="19" s="1"/>
  <c r="C111" i="19" s="1"/>
  <c r="C112" i="19" s="1"/>
  <c r="C113" i="19" s="1"/>
  <c r="C114" i="19" s="1"/>
  <c r="C115" i="19" s="1"/>
  <c r="C116" i="19" s="1"/>
  <c r="C117" i="19" s="1"/>
  <c r="C118" i="19" s="1"/>
  <c r="C119" i="19" s="1"/>
  <c r="C120" i="19" s="1"/>
  <c r="C121" i="19" s="1"/>
  <c r="C122" i="19" s="1"/>
  <c r="C123" i="19" s="1"/>
  <c r="C124" i="19" s="1"/>
  <c r="C125" i="19" s="1"/>
  <c r="C126" i="19" s="1"/>
  <c r="C127" i="19" s="1"/>
  <c r="C128" i="19" s="1"/>
  <c r="C129" i="19" s="1"/>
  <c r="C130" i="19" s="1"/>
  <c r="C131" i="19" s="1"/>
  <c r="C132" i="19" s="1"/>
  <c r="C133" i="19" s="1"/>
  <c r="C134" i="19" s="1"/>
  <c r="C135" i="19" s="1"/>
  <c r="C136" i="19" s="1"/>
  <c r="C137" i="19" s="1"/>
  <c r="C138" i="19" s="1"/>
  <c r="C139" i="19" s="1"/>
  <c r="C140" i="19" s="1"/>
  <c r="C141" i="19" s="1"/>
  <c r="C142" i="19" s="1"/>
  <c r="C143" i="19" s="1"/>
  <c r="C144" i="19" s="1"/>
  <c r="C145" i="19" s="1"/>
  <c r="C146" i="19" s="1"/>
  <c r="C147" i="19" s="1"/>
  <c r="C148" i="19" s="1"/>
  <c r="C149" i="19" s="1"/>
  <c r="C150" i="19" s="1"/>
  <c r="C151" i="19" s="1"/>
  <c r="C152" i="19" s="1"/>
  <c r="C153" i="19" s="1"/>
  <c r="C154" i="19" s="1"/>
  <c r="C155" i="19" s="1"/>
  <c r="C10" i="1"/>
  <c r="C54" i="1"/>
  <c r="C28" i="1"/>
  <c r="C77" i="1"/>
  <c r="C57" i="1"/>
  <c r="D94" i="25"/>
  <c r="F14" i="1"/>
  <c r="E19" i="1" s="1"/>
  <c r="F19" i="1" s="1"/>
  <c r="C76" i="1"/>
  <c r="C79" i="1"/>
  <c r="C8" i="1"/>
  <c r="F18" i="1"/>
  <c r="C73" i="1"/>
  <c r="C53" i="1"/>
  <c r="C14" i="1"/>
  <c r="C22" i="1"/>
  <c r="C60" i="1"/>
  <c r="P105" i="37"/>
  <c r="P109" i="37"/>
  <c r="P121" i="37"/>
  <c r="P125" i="37"/>
  <c r="P129" i="37"/>
  <c r="O71" i="21"/>
  <c r="O67" i="21"/>
  <c r="O53" i="21"/>
  <c r="O43" i="21"/>
  <c r="O37" i="21"/>
  <c r="O39" i="22"/>
  <c r="O41" i="22"/>
  <c r="O43" i="22"/>
  <c r="O47" i="22"/>
  <c r="O49" i="22"/>
  <c r="O53" i="22"/>
  <c r="O55" i="22"/>
  <c r="O57" i="22"/>
  <c r="O59" i="22"/>
  <c r="O61" i="22"/>
  <c r="O69" i="22"/>
  <c r="O71" i="22"/>
  <c r="O38" i="28"/>
  <c r="O40" i="28"/>
  <c r="O35" i="31"/>
  <c r="O52" i="31"/>
  <c r="O60" i="31"/>
  <c r="P128" i="31"/>
  <c r="O20" i="35"/>
  <c r="O24" i="35"/>
  <c r="O26" i="35"/>
  <c r="O28" i="35"/>
  <c r="J38" i="17"/>
  <c r="P119" i="35"/>
  <c r="P123" i="35"/>
  <c r="P127" i="35"/>
  <c r="P131" i="35"/>
  <c r="P115" i="35"/>
  <c r="P103" i="35"/>
  <c r="P107" i="35"/>
  <c r="P111" i="35"/>
  <c r="P110" i="38"/>
  <c r="P112" i="31"/>
  <c r="P114" i="37"/>
  <c r="P122" i="37"/>
  <c r="P126" i="37"/>
  <c r="P130" i="37"/>
  <c r="P105" i="38"/>
  <c r="P109" i="38"/>
  <c r="P113" i="38"/>
  <c r="P121" i="38"/>
  <c r="P106" i="37"/>
  <c r="O50" i="4"/>
  <c r="O44" i="4"/>
  <c r="O38" i="4"/>
  <c r="P106" i="31"/>
  <c r="P108" i="31"/>
  <c r="O24" i="34"/>
  <c r="O26" i="34"/>
  <c r="O28" i="34"/>
  <c r="O30" i="34"/>
  <c r="O36" i="34"/>
  <c r="O38" i="34"/>
  <c r="O42" i="34"/>
  <c r="O34" i="35"/>
  <c r="O40" i="35"/>
  <c r="O42" i="35"/>
  <c r="O44" i="35"/>
  <c r="O48" i="35"/>
  <c r="O52" i="35"/>
  <c r="O54" i="35"/>
  <c r="O56" i="35"/>
  <c r="O36" i="4"/>
  <c r="O63" i="20"/>
  <c r="O59" i="20"/>
  <c r="O55" i="20"/>
  <c r="O41" i="20"/>
  <c r="O39" i="20"/>
  <c r="O37" i="20"/>
  <c r="O35" i="20"/>
  <c r="O33" i="20"/>
  <c r="O30" i="20"/>
  <c r="O28" i="20"/>
  <c r="O26" i="20"/>
  <c r="O24" i="20"/>
  <c r="O22" i="20"/>
  <c r="O20" i="20"/>
  <c r="O18" i="20"/>
  <c r="O70" i="21"/>
  <c r="O52" i="21"/>
  <c r="O50" i="21"/>
  <c r="O48" i="21"/>
  <c r="O29" i="21"/>
  <c r="O27" i="21"/>
  <c r="O25" i="22"/>
  <c r="O27" i="22"/>
  <c r="O48" i="22"/>
  <c r="O50" i="22"/>
  <c r="O62" i="22"/>
  <c r="O64" i="22"/>
  <c r="O66" i="22"/>
  <c r="O27" i="28"/>
  <c r="O39" i="28"/>
  <c r="O41" i="28"/>
  <c r="O45" i="28"/>
  <c r="O47" i="28"/>
  <c r="O51" i="28"/>
  <c r="O53" i="28"/>
  <c r="O57" i="28"/>
  <c r="O61" i="28"/>
  <c r="O23" i="34"/>
  <c r="O25" i="34"/>
  <c r="O27" i="34"/>
  <c r="O29" i="34"/>
  <c r="O37" i="34"/>
  <c r="O39" i="34"/>
  <c r="O49" i="34"/>
  <c r="O51" i="34"/>
  <c r="O53" i="34"/>
  <c r="O65" i="34"/>
  <c r="O23" i="35"/>
  <c r="O29" i="35"/>
  <c r="O35" i="35"/>
  <c r="O39" i="35"/>
  <c r="O43" i="35"/>
  <c r="O47" i="35"/>
  <c r="O61" i="35"/>
  <c r="O65" i="35"/>
  <c r="O67" i="35"/>
  <c r="O69" i="35"/>
  <c r="O73" i="35"/>
  <c r="O73" i="13"/>
  <c r="O32" i="37"/>
  <c r="O36" i="37"/>
  <c r="O68" i="37"/>
  <c r="O70" i="37"/>
  <c r="P110" i="37"/>
  <c r="F84" i="1"/>
  <c r="F85" i="1" s="1"/>
  <c r="F87" i="1" s="1"/>
  <c r="F88" i="1" s="1"/>
  <c r="D13" i="3" s="1"/>
  <c r="O26" i="38"/>
  <c r="O28" i="38"/>
  <c r="O30" i="38"/>
  <c r="O40" i="38"/>
  <c r="O44" i="38"/>
  <c r="O48" i="38"/>
  <c r="O50" i="38"/>
  <c r="O52" i="38"/>
  <c r="O54" i="38"/>
  <c r="O56" i="38"/>
  <c r="O58" i="38"/>
  <c r="O60" i="38"/>
  <c r="O62" i="38"/>
  <c r="O64" i="38"/>
  <c r="O68" i="38"/>
  <c r="O70" i="38"/>
  <c r="O72" i="38"/>
  <c r="P116" i="21"/>
  <c r="P107" i="21"/>
  <c r="P131" i="31"/>
  <c r="O72" i="3"/>
  <c r="O66" i="3"/>
  <c r="O64" i="3"/>
  <c r="O56" i="3"/>
  <c r="O52" i="3"/>
  <c r="O29" i="3"/>
  <c r="O27" i="3"/>
  <c r="O56" i="13"/>
  <c r="O52" i="13"/>
  <c r="O38" i="13"/>
  <c r="O34" i="13"/>
  <c r="O55" i="18"/>
  <c r="O51" i="18"/>
  <c r="O39" i="18"/>
  <c r="O37" i="18"/>
  <c r="O35" i="18"/>
  <c r="O28" i="18"/>
  <c r="O73" i="19"/>
  <c r="O71" i="19"/>
  <c r="O67" i="19"/>
  <c r="O37" i="19"/>
  <c r="O35" i="19"/>
  <c r="O30" i="19"/>
  <c r="O70" i="20"/>
  <c r="O46" i="20"/>
  <c r="O44" i="20"/>
  <c r="O31" i="20"/>
  <c r="O27" i="20"/>
  <c r="O58" i="34"/>
  <c r="P122" i="34"/>
  <c r="P124" i="34"/>
  <c r="P123" i="22"/>
  <c r="P131" i="22"/>
  <c r="P109" i="24"/>
  <c r="P115" i="24"/>
  <c r="P131" i="24"/>
  <c r="P105" i="25"/>
  <c r="P121" i="25"/>
  <c r="P131" i="25"/>
  <c r="P107" i="27"/>
  <c r="P113" i="27"/>
  <c r="P105" i="29"/>
  <c r="P123" i="29"/>
  <c r="P131" i="29"/>
  <c r="O32" i="26"/>
  <c r="P102" i="35"/>
  <c r="P110" i="35"/>
  <c r="P114" i="35"/>
  <c r="P118" i="35"/>
  <c r="P122" i="35"/>
  <c r="P130" i="35"/>
  <c r="P119" i="22"/>
  <c r="P127" i="22"/>
  <c r="P111" i="24"/>
  <c r="P119" i="24"/>
  <c r="P117" i="25"/>
  <c r="P123" i="25"/>
  <c r="P129" i="25"/>
  <c r="P119" i="27"/>
  <c r="P127" i="27"/>
  <c r="P109" i="29"/>
  <c r="P115" i="29"/>
  <c r="P119" i="29"/>
  <c r="P125" i="29"/>
  <c r="P129" i="29"/>
  <c r="O32" i="19"/>
  <c r="O32" i="24"/>
  <c r="P129" i="4"/>
  <c r="P125" i="18"/>
  <c r="O42" i="19"/>
  <c r="P111" i="22"/>
  <c r="P117" i="22"/>
  <c r="P109" i="25"/>
  <c r="P113" i="25"/>
  <c r="P119" i="25"/>
  <c r="P127" i="25"/>
  <c r="P109" i="27"/>
  <c r="P115" i="27"/>
  <c r="P123" i="27"/>
  <c r="P131" i="27"/>
  <c r="P109" i="28"/>
  <c r="O33" i="31"/>
  <c r="O42" i="31"/>
  <c r="O43" i="3"/>
  <c r="O41" i="3"/>
  <c r="O39" i="3"/>
  <c r="O35" i="3"/>
  <c r="O33" i="3"/>
  <c r="O32" i="3"/>
  <c r="O32" i="20"/>
  <c r="O37" i="38"/>
  <c r="P120" i="38"/>
  <c r="O45" i="3"/>
  <c r="O24" i="23"/>
  <c r="O28" i="23"/>
  <c r="O38" i="23"/>
  <c r="O58" i="23"/>
  <c r="O64" i="23"/>
  <c r="O24" i="24"/>
  <c r="O26" i="24"/>
  <c r="O54" i="24"/>
  <c r="O56" i="24"/>
  <c r="O58" i="24"/>
  <c r="O60" i="24"/>
  <c r="O66" i="24"/>
  <c r="O70" i="24"/>
  <c r="O40" i="25"/>
  <c r="O50" i="25"/>
  <c r="O52" i="25"/>
  <c r="O54" i="25"/>
  <c r="O31" i="26"/>
  <c r="O37" i="26"/>
  <c r="O39" i="26"/>
  <c r="O45" i="26"/>
  <c r="O51" i="26"/>
  <c r="O61" i="26"/>
  <c r="O62" i="27"/>
  <c r="O70" i="27"/>
  <c r="P146" i="3"/>
  <c r="P144" i="19"/>
  <c r="P134" i="19"/>
  <c r="P132" i="19"/>
  <c r="P124" i="19"/>
  <c r="P112" i="19"/>
  <c r="P148" i="21"/>
  <c r="P144" i="21"/>
  <c r="P140" i="21"/>
  <c r="P138" i="21"/>
  <c r="P136" i="21"/>
  <c r="P124" i="21"/>
  <c r="P120" i="21"/>
  <c r="P108" i="21"/>
  <c r="O28" i="29"/>
  <c r="O34" i="29"/>
  <c r="O40" i="29"/>
  <c r="O42" i="29"/>
  <c r="O44" i="29"/>
  <c r="O46" i="29"/>
  <c r="O48" i="29"/>
  <c r="O50" i="29"/>
  <c r="O56" i="29"/>
  <c r="O60" i="29"/>
  <c r="O62" i="29"/>
  <c r="O64" i="29"/>
  <c r="O66" i="29"/>
  <c r="O68" i="29"/>
  <c r="O72" i="29"/>
  <c r="O39" i="31"/>
  <c r="O62" i="35"/>
  <c r="O66" i="35"/>
  <c r="O68" i="35"/>
  <c r="O19" i="38"/>
  <c r="O41" i="38"/>
  <c r="O37" i="29"/>
  <c r="O41" i="29"/>
  <c r="O49" i="29"/>
  <c r="O51" i="29"/>
  <c r="O53" i="29"/>
  <c r="O55" i="29"/>
  <c r="O59" i="29"/>
  <c r="O65" i="29"/>
  <c r="O67" i="29"/>
  <c r="O73" i="29"/>
  <c r="O27" i="38"/>
  <c r="O29" i="38"/>
  <c r="O33" i="38"/>
  <c r="P116" i="31"/>
  <c r="P139" i="20"/>
  <c r="P133" i="20"/>
  <c r="P113" i="34"/>
  <c r="P117" i="34"/>
  <c r="P119" i="34"/>
  <c r="P121" i="34"/>
  <c r="P151" i="3"/>
  <c r="P123" i="13"/>
  <c r="P153" i="19"/>
  <c r="P109" i="19"/>
  <c r="P152" i="4"/>
  <c r="P144" i="4"/>
  <c r="P140" i="4"/>
  <c r="P132" i="4"/>
  <c r="P130" i="4"/>
  <c r="P124" i="4"/>
  <c r="P120" i="4"/>
  <c r="P112" i="4"/>
  <c r="P154" i="18"/>
  <c r="P152" i="18"/>
  <c r="P150" i="18"/>
  <c r="P148" i="18"/>
  <c r="P144" i="18"/>
  <c r="P142" i="18"/>
  <c r="P140" i="18"/>
  <c r="P138" i="18"/>
  <c r="P136" i="18"/>
  <c r="P134" i="18"/>
  <c r="P122" i="18"/>
  <c r="P155" i="20"/>
  <c r="P153" i="20"/>
  <c r="P141" i="20"/>
  <c r="P125" i="20"/>
  <c r="P104" i="31"/>
  <c r="P109" i="18"/>
  <c r="P124" i="20"/>
  <c r="P120" i="20"/>
  <c r="P116" i="20"/>
  <c r="P112" i="20"/>
  <c r="P108" i="20"/>
  <c r="P107" i="23"/>
  <c r="P115" i="23"/>
  <c r="P121" i="23"/>
  <c r="P125" i="23"/>
  <c r="P127" i="23"/>
  <c r="P108" i="24"/>
  <c r="P112" i="25"/>
  <c r="P124" i="25"/>
  <c r="P126" i="25"/>
  <c r="P128" i="25"/>
  <c r="P110" i="26"/>
  <c r="P114" i="26"/>
  <c r="P122" i="26"/>
  <c r="P130" i="26"/>
  <c r="P106" i="28"/>
  <c r="P112" i="28"/>
  <c r="P118" i="28"/>
  <c r="P122" i="28"/>
  <c r="P126" i="28"/>
  <c r="P128" i="28"/>
  <c r="P106" i="29"/>
  <c r="P123" i="31"/>
  <c r="P127" i="31"/>
  <c r="P133" i="31"/>
  <c r="P135" i="31"/>
  <c r="P139" i="31"/>
  <c r="P129" i="13"/>
  <c r="P125" i="13"/>
  <c r="P121" i="13"/>
  <c r="P117" i="13"/>
  <c r="P113" i="13"/>
  <c r="P109" i="13"/>
  <c r="P103" i="13"/>
  <c r="P153" i="21"/>
  <c r="P145" i="21"/>
  <c r="P103" i="29"/>
  <c r="P120" i="31"/>
  <c r="P127" i="37"/>
  <c r="P115" i="3"/>
  <c r="P111" i="3"/>
  <c r="P122" i="31"/>
  <c r="P120" i="13"/>
  <c r="P105" i="34"/>
  <c r="P129" i="34"/>
  <c r="P135" i="20"/>
  <c r="P131" i="20"/>
  <c r="P127" i="20"/>
  <c r="P123" i="20"/>
  <c r="P119" i="20"/>
  <c r="P129" i="28"/>
  <c r="P127" i="3"/>
  <c r="P118" i="22"/>
  <c r="P126" i="22"/>
  <c r="P105" i="23"/>
  <c r="P113" i="23"/>
  <c r="P117" i="23"/>
  <c r="P123" i="23"/>
  <c r="P110" i="31"/>
  <c r="P121" i="4"/>
  <c r="P117" i="4"/>
  <c r="C100" i="13"/>
  <c r="D100" i="13" s="1"/>
  <c r="B100" i="13" s="1"/>
  <c r="O70" i="13"/>
  <c r="O68" i="13"/>
  <c r="O66" i="13"/>
  <c r="O64" i="13"/>
  <c r="O62" i="13"/>
  <c r="O60" i="13"/>
  <c r="O50" i="13"/>
  <c r="O32" i="13"/>
  <c r="O28" i="19"/>
  <c r="O23" i="23"/>
  <c r="O29" i="23"/>
  <c r="O39" i="23"/>
  <c r="O41" i="23"/>
  <c r="O49" i="23"/>
  <c r="O53" i="23"/>
  <c r="O59" i="23"/>
  <c r="O61" i="23"/>
  <c r="O49" i="24"/>
  <c r="O67" i="27"/>
  <c r="O69" i="27"/>
  <c r="O35" i="34"/>
  <c r="O45" i="35"/>
  <c r="O65" i="23"/>
  <c r="O69" i="23"/>
  <c r="O27" i="24"/>
  <c r="O31" i="24"/>
  <c r="O39" i="24"/>
  <c r="O45" i="24"/>
  <c r="O59" i="25"/>
  <c r="O71" i="25"/>
  <c r="O26" i="26"/>
  <c r="O30" i="26"/>
  <c r="O44" i="26"/>
  <c r="O58" i="26"/>
  <c r="O65" i="27"/>
  <c r="O72" i="4"/>
  <c r="O68" i="4"/>
  <c r="O60" i="4"/>
  <c r="O52" i="4"/>
  <c r="O48" i="4"/>
  <c r="O46" i="4"/>
  <c r="O40" i="4"/>
  <c r="O29" i="4"/>
  <c r="O69" i="13"/>
  <c r="O63" i="13"/>
  <c r="O57" i="13"/>
  <c r="O55" i="13"/>
  <c r="O53" i="13"/>
  <c r="O51" i="13"/>
  <c r="O49" i="13"/>
  <c r="O45" i="13"/>
  <c r="O43" i="13"/>
  <c r="O41" i="13"/>
  <c r="O27" i="13"/>
  <c r="O25" i="13"/>
  <c r="O72" i="18"/>
  <c r="O70" i="18"/>
  <c r="O68" i="18"/>
  <c r="O64" i="18"/>
  <c r="O58" i="18"/>
  <c r="O56" i="18"/>
  <c r="O54" i="18"/>
  <c r="O52" i="18"/>
  <c r="O50" i="18"/>
  <c r="O48" i="18"/>
  <c r="O46" i="18"/>
  <c r="O44" i="18"/>
  <c r="O42" i="18"/>
  <c r="O34" i="18"/>
  <c r="O27" i="18"/>
  <c r="O21" i="38"/>
  <c r="O63" i="23"/>
  <c r="O67" i="23"/>
  <c r="O35" i="24"/>
  <c r="O37" i="24"/>
  <c r="O41" i="24"/>
  <c r="O43" i="24"/>
  <c r="O55" i="24"/>
  <c r="O61" i="24"/>
  <c r="O65" i="24"/>
  <c r="O25" i="25"/>
  <c r="O24" i="26"/>
  <c r="O34" i="26"/>
  <c r="O38" i="26"/>
  <c r="O48" i="26"/>
  <c r="O62" i="26"/>
  <c r="O43" i="27"/>
  <c r="O73" i="27"/>
  <c r="O69" i="4"/>
  <c r="O67" i="4"/>
  <c r="O65" i="4"/>
  <c r="O61" i="4"/>
  <c r="O59" i="4"/>
  <c r="O57" i="4"/>
  <c r="O49" i="4"/>
  <c r="O47" i="4"/>
  <c r="O45" i="4"/>
  <c r="O43" i="4"/>
  <c r="O35" i="4"/>
  <c r="O33" i="4"/>
  <c r="O28" i="4"/>
  <c r="O73" i="18"/>
  <c r="O61" i="18"/>
  <c r="O45" i="18"/>
  <c r="O72" i="20"/>
  <c r="O58" i="20"/>
  <c r="O56" i="20"/>
  <c r="O52" i="20"/>
  <c r="O73" i="21"/>
  <c r="O69" i="21"/>
  <c r="O65" i="21"/>
  <c r="O55" i="21"/>
  <c r="O49" i="21"/>
  <c r="O47" i="21"/>
  <c r="O45" i="21"/>
  <c r="O41" i="21"/>
  <c r="O39" i="21"/>
  <c r="O35" i="21"/>
  <c r="O37" i="22"/>
  <c r="O45" i="22"/>
  <c r="O30" i="28"/>
  <c r="O34" i="28"/>
  <c r="O36" i="28"/>
  <c r="O64" i="28"/>
  <c r="O66" i="28"/>
  <c r="O22" i="29"/>
  <c r="O24" i="29"/>
  <c r="O26" i="29"/>
  <c r="O30" i="29"/>
  <c r="O40" i="34"/>
  <c r="O44" i="34"/>
  <c r="O46" i="34"/>
  <c r="O50" i="34"/>
  <c r="O52" i="34"/>
  <c r="O54" i="34"/>
  <c r="O60" i="34"/>
  <c r="O62" i="34"/>
  <c r="O68" i="34"/>
  <c r="O30" i="31"/>
  <c r="O57" i="34"/>
  <c r="O21" i="35"/>
  <c r="O31" i="35"/>
  <c r="O49" i="35"/>
  <c r="O32" i="38"/>
  <c r="O71" i="20"/>
  <c r="O67" i="20"/>
  <c r="O65" i="20"/>
  <c r="O57" i="20"/>
  <c r="O53" i="20"/>
  <c r="E18" i="20"/>
  <c r="F18" i="20" s="1"/>
  <c r="B19" i="20" s="1"/>
  <c r="O34" i="22"/>
  <c r="O25" i="28"/>
  <c r="O59" i="28"/>
  <c r="O63" i="28"/>
  <c r="O69" i="28"/>
  <c r="O71" i="28"/>
  <c r="O73" i="28"/>
  <c r="O25" i="29"/>
  <c r="O27" i="29"/>
  <c r="O29" i="29"/>
  <c r="O31" i="29"/>
  <c r="O21" i="34"/>
  <c r="O41" i="34"/>
  <c r="O71" i="34"/>
  <c r="O27" i="35"/>
  <c r="O37" i="35"/>
  <c r="O71" i="35"/>
  <c r="O66" i="38"/>
  <c r="O71" i="3"/>
  <c r="O69" i="3"/>
  <c r="O67" i="3"/>
  <c r="O63" i="3"/>
  <c r="O61" i="3"/>
  <c r="O59" i="3"/>
  <c r="O47" i="3"/>
  <c r="O30" i="3"/>
  <c r="O72" i="19"/>
  <c r="O26" i="31"/>
  <c r="O36" i="31"/>
  <c r="O49" i="31"/>
  <c r="O61" i="31"/>
  <c r="O59" i="35"/>
  <c r="O24" i="38"/>
  <c r="O36" i="38"/>
  <c r="O26" i="18"/>
  <c r="O27" i="19"/>
  <c r="O44" i="24"/>
  <c r="O73" i="26"/>
  <c r="O28" i="27"/>
  <c r="O30" i="27"/>
  <c r="O34" i="27"/>
  <c r="O36" i="27"/>
  <c r="O40" i="27"/>
  <c r="O42" i="27"/>
  <c r="O52" i="27"/>
  <c r="O60" i="27"/>
  <c r="O66" i="27"/>
  <c r="O68" i="27"/>
  <c r="O69" i="29"/>
  <c r="O19" i="37"/>
  <c r="O23" i="37"/>
  <c r="O25" i="37"/>
  <c r="O29" i="37"/>
  <c r="O31" i="37"/>
  <c r="O33" i="37"/>
  <c r="O43" i="37"/>
  <c r="O35" i="29"/>
  <c r="O28" i="31"/>
  <c r="O34" i="31"/>
  <c r="O40" i="31"/>
  <c r="O47" i="31"/>
  <c r="O22" i="38"/>
  <c r="O34" i="38"/>
  <c r="O38" i="38"/>
  <c r="O42" i="38"/>
  <c r="O61" i="21"/>
  <c r="O59" i="21"/>
  <c r="O51" i="21"/>
  <c r="O30" i="21"/>
  <c r="O24" i="21"/>
  <c r="O24" i="22"/>
  <c r="O26" i="22"/>
  <c r="O28" i="22"/>
  <c r="O63" i="22"/>
  <c r="O73" i="22"/>
  <c r="O47" i="24"/>
  <c r="O51" i="24"/>
  <c r="O73" i="24"/>
  <c r="O63" i="25"/>
  <c r="O36" i="26"/>
  <c r="O68" i="26"/>
  <c r="O70" i="26"/>
  <c r="O26" i="28"/>
  <c r="O42" i="28"/>
  <c r="O44" i="28"/>
  <c r="O50" i="28"/>
  <c r="O56" i="31"/>
  <c r="O62" i="31"/>
  <c r="O70" i="31"/>
  <c r="O33" i="18"/>
  <c r="O31" i="18"/>
  <c r="O32" i="23"/>
  <c r="O32" i="29"/>
  <c r="O18" i="37"/>
  <c r="O22" i="37"/>
  <c r="O24" i="37"/>
  <c r="O26" i="37"/>
  <c r="O28" i="37"/>
  <c r="O63" i="24"/>
  <c r="O69" i="24"/>
  <c r="O29" i="25"/>
  <c r="O35" i="25"/>
  <c r="O39" i="25"/>
  <c r="O47" i="25"/>
  <c r="O69" i="25"/>
  <c r="O28" i="26"/>
  <c r="O40" i="26"/>
  <c r="O48" i="28"/>
  <c r="O62" i="28"/>
  <c r="O20" i="38"/>
  <c r="O58" i="4"/>
  <c r="O54" i="4"/>
  <c r="O34" i="4"/>
  <c r="O31" i="4"/>
  <c r="O27" i="4"/>
  <c r="O46" i="21"/>
  <c r="O44" i="21"/>
  <c r="O42" i="21"/>
  <c r="O23" i="22"/>
  <c r="O48" i="31"/>
  <c r="O64" i="35"/>
  <c r="O70" i="35"/>
  <c r="O72" i="34"/>
  <c r="O59" i="24"/>
  <c r="O67" i="24"/>
  <c r="O71" i="24"/>
  <c r="O23" i="25"/>
  <c r="O27" i="25"/>
  <c r="O31" i="25"/>
  <c r="O37" i="25"/>
  <c r="O45" i="25"/>
  <c r="O49" i="25"/>
  <c r="O61" i="25"/>
  <c r="O65" i="25"/>
  <c r="O66" i="26"/>
  <c r="O46" i="28"/>
  <c r="O58" i="28"/>
  <c r="O60" i="28"/>
  <c r="O51" i="37"/>
  <c r="O53" i="37"/>
  <c r="O55" i="37"/>
  <c r="O59" i="37"/>
  <c r="O61" i="37"/>
  <c r="O65" i="37"/>
  <c r="O67" i="37"/>
  <c r="O69" i="37"/>
  <c r="O71" i="37"/>
  <c r="O18" i="38"/>
  <c r="O57" i="3"/>
  <c r="O53" i="3"/>
  <c r="O51" i="3"/>
  <c r="O28" i="3"/>
  <c r="O51" i="31"/>
  <c r="O55" i="31"/>
  <c r="O57" i="31"/>
  <c r="O50" i="37"/>
  <c r="O62" i="3"/>
  <c r="O67" i="13"/>
  <c r="O65" i="13"/>
  <c r="O23" i="13"/>
  <c r="O17" i="13"/>
  <c r="O69" i="18"/>
  <c r="O67" i="18"/>
  <c r="O43" i="18"/>
  <c r="O41" i="18"/>
  <c r="O30" i="18"/>
  <c r="O63" i="19"/>
  <c r="O50" i="20"/>
  <c r="O40" i="23"/>
  <c r="O42" i="23"/>
  <c r="O44" i="23"/>
  <c r="O60" i="23"/>
  <c r="O62" i="23"/>
  <c r="O68" i="23"/>
  <c r="O72" i="23"/>
  <c r="O30" i="24"/>
  <c r="O34" i="24"/>
  <c r="O36" i="24"/>
  <c r="O38" i="24"/>
  <c r="O40" i="24"/>
  <c r="O42" i="24"/>
  <c r="O50" i="24"/>
  <c r="O37" i="27"/>
  <c r="O39" i="27"/>
  <c r="O41" i="27"/>
  <c r="O47" i="27"/>
  <c r="O49" i="27"/>
  <c r="O53" i="27"/>
  <c r="O55" i="27"/>
  <c r="O71" i="27"/>
  <c r="O23" i="31"/>
  <c r="O25" i="31"/>
  <c r="O27" i="31"/>
  <c r="O37" i="31"/>
  <c r="O44" i="31"/>
  <c r="O46" i="31"/>
  <c r="O50" i="31"/>
  <c r="O63" i="31"/>
  <c r="O69" i="31"/>
  <c r="O71" i="31"/>
  <c r="O73" i="31"/>
  <c r="O41" i="31"/>
  <c r="O43" i="31"/>
  <c r="O40" i="3"/>
  <c r="O38" i="3"/>
  <c r="O32" i="18"/>
  <c r="O33" i="19"/>
  <c r="O45" i="34"/>
  <c r="O47" i="34"/>
  <c r="O55" i="34"/>
  <c r="O59" i="34"/>
  <c r="O61" i="34"/>
  <c r="O63" i="34"/>
  <c r="O51" i="35"/>
  <c r="O53" i="35"/>
  <c r="O55" i="35"/>
  <c r="O57" i="35"/>
  <c r="O63" i="35"/>
  <c r="O34" i="37"/>
  <c r="O40" i="37"/>
  <c r="O44" i="37"/>
  <c r="O48" i="37"/>
  <c r="O62" i="4"/>
  <c r="O40" i="13"/>
  <c r="O36" i="13"/>
  <c r="O22" i="13"/>
  <c r="O20" i="13"/>
  <c r="O58" i="19"/>
  <c r="O36" i="19"/>
  <c r="O34" i="19"/>
  <c r="O47" i="20"/>
  <c r="O45" i="20"/>
  <c r="O43" i="20"/>
  <c r="O38" i="20"/>
  <c r="O36" i="20"/>
  <c r="O46" i="27"/>
  <c r="O54" i="27"/>
  <c r="O58" i="27"/>
  <c r="O58" i="31"/>
  <c r="O50" i="35"/>
  <c r="D94" i="29"/>
  <c r="C100" i="29" s="1"/>
  <c r="C101" i="29" s="1"/>
  <c r="C102" i="29" s="1"/>
  <c r="C103" i="29" s="1"/>
  <c r="C104" i="29" s="1"/>
  <c r="C105" i="29" s="1"/>
  <c r="C106" i="29" s="1"/>
  <c r="C107" i="29" s="1"/>
  <c r="C108" i="29" s="1"/>
  <c r="C109" i="29" s="1"/>
  <c r="C110" i="29" s="1"/>
  <c r="C111" i="29" s="1"/>
  <c r="C112" i="29" s="1"/>
  <c r="C113" i="29" s="1"/>
  <c r="C114" i="29" s="1"/>
  <c r="C115" i="29" s="1"/>
  <c r="C116" i="29" s="1"/>
  <c r="C117" i="29" s="1"/>
  <c r="C118" i="29" s="1"/>
  <c r="C119" i="29" s="1"/>
  <c r="C120" i="29" s="1"/>
  <c r="C121" i="29" s="1"/>
  <c r="C122" i="29" s="1"/>
  <c r="C123" i="29" s="1"/>
  <c r="C124" i="29" s="1"/>
  <c r="C125" i="29" s="1"/>
  <c r="C126" i="29" s="1"/>
  <c r="C127" i="29" s="1"/>
  <c r="O60" i="3"/>
  <c r="O59" i="31"/>
  <c r="F17" i="1"/>
  <c r="O55" i="26"/>
  <c r="O37" i="28"/>
  <c r="P154" i="3"/>
  <c r="P138" i="3"/>
  <c r="P136" i="3"/>
  <c r="P132" i="3"/>
  <c r="P130" i="3"/>
  <c r="O50" i="3"/>
  <c r="O70" i="4"/>
  <c r="O41" i="4"/>
  <c r="O37" i="4"/>
  <c r="O18" i="13"/>
  <c r="O71" i="18"/>
  <c r="O54" i="19"/>
  <c r="O52" i="19"/>
  <c r="O68" i="20"/>
  <c r="O66" i="20"/>
  <c r="O60" i="20"/>
  <c r="O54" i="20"/>
  <c r="O49" i="20"/>
  <c r="O68" i="22"/>
  <c r="O70" i="22"/>
  <c r="O72" i="22"/>
  <c r="O71" i="23"/>
  <c r="O73" i="23"/>
  <c r="O25" i="24"/>
  <c r="O22" i="25"/>
  <c r="O34" i="25"/>
  <c r="O42" i="25"/>
  <c r="O56" i="25"/>
  <c r="O58" i="25"/>
  <c r="O27" i="26"/>
  <c r="O29" i="26"/>
  <c r="O25" i="27"/>
  <c r="O27" i="27"/>
  <c r="O31" i="27"/>
  <c r="O35" i="27"/>
  <c r="O50" i="27"/>
  <c r="O35" i="28"/>
  <c r="O70" i="28"/>
  <c r="O72" i="28"/>
  <c r="O45" i="29"/>
  <c r="O47" i="29"/>
  <c r="O57" i="29"/>
  <c r="O61" i="29"/>
  <c r="O63" i="29"/>
  <c r="O22" i="31"/>
  <c r="O31" i="31"/>
  <c r="O38" i="31"/>
  <c r="O53" i="31"/>
  <c r="O32" i="21"/>
  <c r="O33" i="34"/>
  <c r="O66" i="34"/>
  <c r="O70" i="34"/>
  <c r="O22" i="35"/>
  <c r="O30" i="35"/>
  <c r="O73" i="34"/>
  <c r="O41" i="37"/>
  <c r="O46" i="38"/>
  <c r="O64" i="4"/>
  <c r="O61" i="13"/>
  <c r="O59" i="13"/>
  <c r="O57" i="19"/>
  <c r="O55" i="19"/>
  <c r="O53" i="19"/>
  <c r="O51" i="19"/>
  <c r="O49" i="19"/>
  <c r="O47" i="19"/>
  <c r="O45" i="19"/>
  <c r="O43" i="19"/>
  <c r="O39" i="19"/>
  <c r="O69" i="20"/>
  <c r="O42" i="20"/>
  <c r="O72" i="21"/>
  <c r="O57" i="21"/>
  <c r="O65" i="22"/>
  <c r="P109" i="23"/>
  <c r="O71" i="26"/>
  <c r="O26" i="27"/>
  <c r="O24" i="28"/>
  <c r="O28" i="28"/>
  <c r="O36" i="29"/>
  <c r="O52" i="29"/>
  <c r="O71" i="29"/>
  <c r="O32" i="27"/>
  <c r="O32" i="28"/>
  <c r="O20" i="34"/>
  <c r="O22" i="34"/>
  <c r="O32" i="34"/>
  <c r="O34" i="34"/>
  <c r="O25" i="35"/>
  <c r="O72" i="35"/>
  <c r="P147" i="3"/>
  <c r="P123" i="3"/>
  <c r="P119" i="3"/>
  <c r="O73" i="3"/>
  <c r="O73" i="4"/>
  <c r="O71" i="4"/>
  <c r="O58" i="13"/>
  <c r="O48" i="13"/>
  <c r="O46" i="13"/>
  <c r="O44" i="13"/>
  <c r="O42" i="13"/>
  <c r="O39" i="13"/>
  <c r="O35" i="13"/>
  <c r="O33" i="13"/>
  <c r="O40" i="18"/>
  <c r="O38" i="18"/>
  <c r="O62" i="19"/>
  <c r="O60" i="19"/>
  <c r="O51" i="20"/>
  <c r="O34" i="20"/>
  <c r="O29" i="20"/>
  <c r="O25" i="20"/>
  <c r="O21" i="20"/>
  <c r="O19" i="20"/>
  <c r="O66" i="21"/>
  <c r="O56" i="21"/>
  <c r="O40" i="21"/>
  <c r="O38" i="21"/>
  <c r="O36" i="21"/>
  <c r="O34" i="21"/>
  <c r="O31" i="21"/>
  <c r="O25" i="21"/>
  <c r="O29" i="22"/>
  <c r="O31" i="22"/>
  <c r="O38" i="22"/>
  <c r="O40" i="22"/>
  <c r="O44" i="22"/>
  <c r="O46" i="22"/>
  <c r="O52" i="22"/>
  <c r="P121" i="22"/>
  <c r="P125" i="22"/>
  <c r="P129" i="22"/>
  <c r="O64" i="26"/>
  <c r="O59" i="27"/>
  <c r="O61" i="27"/>
  <c r="O54" i="28"/>
  <c r="O39" i="37"/>
  <c r="O63" i="37"/>
  <c r="E18" i="13"/>
  <c r="F18" i="13" s="1"/>
  <c r="I12" i="38"/>
  <c r="I13" i="38" s="1"/>
  <c r="I12" i="37"/>
  <c r="I13" i="37" s="1"/>
  <c r="I12" i="28"/>
  <c r="I13" i="28" s="1"/>
  <c r="I12" i="31"/>
  <c r="I13" i="31" s="1"/>
  <c r="I12" i="24"/>
  <c r="I12" i="3"/>
  <c r="I13" i="3" s="1"/>
  <c r="I12" i="27"/>
  <c r="I13" i="27" s="1"/>
  <c r="I12" i="22"/>
  <c r="I13" i="22" s="1"/>
  <c r="I12" i="35"/>
  <c r="I13" i="35" s="1"/>
  <c r="I12" i="25"/>
  <c r="I13" i="25" s="1"/>
  <c r="I12" i="4"/>
  <c r="I13" i="4" s="1"/>
  <c r="I12" i="23"/>
  <c r="I13" i="23" s="1"/>
  <c r="I12" i="34"/>
  <c r="I13" i="34" s="1"/>
  <c r="I12" i="29"/>
  <c r="I13" i="29" s="1"/>
  <c r="I12" i="18"/>
  <c r="I13" i="18" s="1"/>
  <c r="I12" i="19"/>
  <c r="I13" i="19" s="1"/>
  <c r="I12" i="13"/>
  <c r="N5" i="37"/>
  <c r="N6" i="37"/>
  <c r="A4" i="1"/>
  <c r="A2" i="1"/>
  <c r="A2" i="2" s="1"/>
  <c r="O66" i="18"/>
  <c r="O68" i="21"/>
  <c r="P153" i="3"/>
  <c r="P149" i="3"/>
  <c r="P145" i="3"/>
  <c r="P141" i="3"/>
  <c r="O68" i="3"/>
  <c r="O49" i="3"/>
  <c r="O63" i="4"/>
  <c r="O42" i="4"/>
  <c r="O30" i="4"/>
  <c r="P130" i="13"/>
  <c r="P128" i="13"/>
  <c r="P126" i="13"/>
  <c r="P122" i="13"/>
  <c r="P118" i="13"/>
  <c r="P114" i="13"/>
  <c r="P112" i="13"/>
  <c r="P110" i="13"/>
  <c r="P106" i="13"/>
  <c r="O31" i="13"/>
  <c r="O69" i="19"/>
  <c r="O65" i="19"/>
  <c r="O54" i="21"/>
  <c r="O34" i="23"/>
  <c r="O36" i="23"/>
  <c r="O35" i="26"/>
  <c r="O72" i="26"/>
  <c r="O44" i="27"/>
  <c r="O29" i="31"/>
  <c r="O55" i="4"/>
  <c r="O53" i="4"/>
  <c r="O51" i="4"/>
  <c r="O19" i="13"/>
  <c r="P149" i="19"/>
  <c r="P145" i="19"/>
  <c r="P141" i="19"/>
  <c r="O56" i="19"/>
  <c r="O48" i="19"/>
  <c r="O46" i="19"/>
  <c r="O44" i="19"/>
  <c r="O40" i="19"/>
  <c r="O38" i="19"/>
  <c r="O65" i="26"/>
  <c r="O24" i="31"/>
  <c r="O64" i="31"/>
  <c r="O68" i="31"/>
  <c r="O54" i="3"/>
  <c r="O44" i="3"/>
  <c r="O66" i="4"/>
  <c r="O26" i="13"/>
  <c r="O24" i="13"/>
  <c r="O62" i="18"/>
  <c r="O60" i="18"/>
  <c r="O36" i="18"/>
  <c r="O64" i="19"/>
  <c r="P102" i="20"/>
  <c r="O73" i="20"/>
  <c r="O64" i="20"/>
  <c r="O62" i="20"/>
  <c r="O40" i="20"/>
  <c r="P135" i="21"/>
  <c r="P123" i="21"/>
  <c r="P111" i="21"/>
  <c r="O63" i="21"/>
  <c r="O28" i="21"/>
  <c r="O26" i="21"/>
  <c r="O33" i="22"/>
  <c r="O35" i="22"/>
  <c r="O51" i="22"/>
  <c r="O25" i="23"/>
  <c r="O27" i="23"/>
  <c r="O31" i="23"/>
  <c r="O35" i="23"/>
  <c r="P137" i="3"/>
  <c r="P133" i="3"/>
  <c r="P129" i="3"/>
  <c r="P125" i="3"/>
  <c r="P121" i="3"/>
  <c r="P113" i="3"/>
  <c r="P109" i="3"/>
  <c r="O70" i="3"/>
  <c r="O65" i="3"/>
  <c r="O58" i="3"/>
  <c r="O55" i="3"/>
  <c r="O48" i="3"/>
  <c r="O46" i="3"/>
  <c r="O56" i="4"/>
  <c r="O39" i="4"/>
  <c r="O71" i="13"/>
  <c r="O54" i="13"/>
  <c r="O37" i="13"/>
  <c r="O30" i="13"/>
  <c r="O28" i="13"/>
  <c r="O21" i="13"/>
  <c r="O65" i="18"/>
  <c r="O63" i="18"/>
  <c r="O59" i="18"/>
  <c r="O57" i="18"/>
  <c r="O53" i="18"/>
  <c r="O49" i="18"/>
  <c r="O47" i="18"/>
  <c r="O29" i="18"/>
  <c r="O70" i="19"/>
  <c r="O68" i="19"/>
  <c r="O66" i="19"/>
  <c r="O61" i="19"/>
  <c r="O59" i="19"/>
  <c r="O41" i="19"/>
  <c r="O26" i="19"/>
  <c r="P149" i="20"/>
  <c r="P145" i="20"/>
  <c r="P137" i="20"/>
  <c r="P129" i="20"/>
  <c r="P101" i="20"/>
  <c r="O61" i="20"/>
  <c r="O48" i="20"/>
  <c r="O23" i="20"/>
  <c r="P130" i="21"/>
  <c r="P126" i="21"/>
  <c r="P114" i="21"/>
  <c r="O64" i="21"/>
  <c r="O62" i="21"/>
  <c r="O60" i="21"/>
  <c r="O58" i="21"/>
  <c r="O30" i="22"/>
  <c r="O36" i="22"/>
  <c r="O42" i="22"/>
  <c r="O54" i="22"/>
  <c r="O56" i="22"/>
  <c r="O58" i="22"/>
  <c r="O60" i="22"/>
  <c r="O67" i="22"/>
  <c r="O26" i="23"/>
  <c r="O37" i="23"/>
  <c r="O41" i="25"/>
  <c r="O51" i="25"/>
  <c r="O73" i="25"/>
  <c r="O52" i="26"/>
  <c r="O38" i="29"/>
  <c r="O43" i="23"/>
  <c r="O45" i="23"/>
  <c r="O47" i="23"/>
  <c r="O51" i="23"/>
  <c r="O55" i="23"/>
  <c r="O57" i="23"/>
  <c r="O70" i="23"/>
  <c r="O29" i="24"/>
  <c r="O46" i="24"/>
  <c r="O48" i="24"/>
  <c r="O52" i="24"/>
  <c r="O68" i="24"/>
  <c r="P116" i="24"/>
  <c r="P118" i="24"/>
  <c r="P122" i="24"/>
  <c r="P126" i="24"/>
  <c r="P130" i="24"/>
  <c r="O46" i="25"/>
  <c r="O48" i="25"/>
  <c r="O53" i="25"/>
  <c r="O55" i="25"/>
  <c r="O57" i="25"/>
  <c r="O62" i="25"/>
  <c r="O46" i="26"/>
  <c r="O50" i="26"/>
  <c r="O54" i="26"/>
  <c r="O57" i="26"/>
  <c r="O59" i="26"/>
  <c r="O63" i="26"/>
  <c r="P107" i="26"/>
  <c r="P121" i="26"/>
  <c r="P129" i="26"/>
  <c r="O24" i="27"/>
  <c r="O57" i="27"/>
  <c r="O72" i="27"/>
  <c r="O43" i="28"/>
  <c r="O52" i="28"/>
  <c r="O56" i="28"/>
  <c r="O65" i="28"/>
  <c r="O67" i="28"/>
  <c r="O70" i="29"/>
  <c r="O21" i="31"/>
  <c r="O45" i="31"/>
  <c r="O66" i="31"/>
  <c r="O42" i="3"/>
  <c r="O36" i="3"/>
  <c r="O34" i="3"/>
  <c r="O31" i="3"/>
  <c r="O32" i="22"/>
  <c r="O32" i="25"/>
  <c r="O56" i="34"/>
  <c r="O35" i="37"/>
  <c r="O37" i="37"/>
  <c r="O60" i="37"/>
  <c r="O39" i="38"/>
  <c r="O43" i="25"/>
  <c r="O72" i="25"/>
  <c r="O45" i="27"/>
  <c r="O63" i="27"/>
  <c r="O49" i="28"/>
  <c r="O72" i="31"/>
  <c r="O37" i="3"/>
  <c r="O31" i="19"/>
  <c r="O33" i="23"/>
  <c r="O33" i="24"/>
  <c r="O33" i="27"/>
  <c r="O33" i="29"/>
  <c r="O43" i="34"/>
  <c r="O48" i="34"/>
  <c r="O67" i="34"/>
  <c r="O33" i="35"/>
  <c r="O41" i="35"/>
  <c r="O58" i="35"/>
  <c r="O60" i="35"/>
  <c r="P125" i="35"/>
  <c r="P129" i="35"/>
  <c r="O49" i="37"/>
  <c r="O57" i="37"/>
  <c r="O72" i="37"/>
  <c r="O17" i="38"/>
  <c r="O43" i="38"/>
  <c r="O49" i="38"/>
  <c r="O53" i="38"/>
  <c r="O61" i="38"/>
  <c r="O46" i="23"/>
  <c r="O48" i="23"/>
  <c r="O50" i="23"/>
  <c r="O56" i="23"/>
  <c r="P106" i="23"/>
  <c r="P110" i="23"/>
  <c r="O53" i="24"/>
  <c r="O57" i="24"/>
  <c r="O60" i="25"/>
  <c r="O42" i="26"/>
  <c r="O47" i="26"/>
  <c r="O49" i="26"/>
  <c r="O56" i="26"/>
  <c r="O60" i="26"/>
  <c r="O69" i="26"/>
  <c r="O29" i="27"/>
  <c r="O38" i="27"/>
  <c r="O51" i="27"/>
  <c r="O56" i="27"/>
  <c r="O64" i="27"/>
  <c r="O23" i="28"/>
  <c r="O29" i="28"/>
  <c r="O31" i="28"/>
  <c r="O55" i="28"/>
  <c r="O68" i="28"/>
  <c r="O21" i="29"/>
  <c r="O23" i="29"/>
  <c r="O39" i="29"/>
  <c r="O54" i="29"/>
  <c r="P121" i="29"/>
  <c r="O20" i="31"/>
  <c r="O67" i="31"/>
  <c r="P116" i="34"/>
  <c r="P120" i="34"/>
  <c r="O32" i="35"/>
  <c r="O38" i="37"/>
  <c r="O46" i="37"/>
  <c r="O23" i="38"/>
  <c r="O35" i="38"/>
  <c r="D100" i="38"/>
  <c r="B100" i="38" s="1"/>
  <c r="C101" i="38"/>
  <c r="C102" i="38" s="1"/>
  <c r="C103" i="38" s="1"/>
  <c r="C104" i="38" s="1"/>
  <c r="C105" i="38" s="1"/>
  <c r="C106" i="38" s="1"/>
  <c r="C107" i="38" s="1"/>
  <c r="C108" i="38" s="1"/>
  <c r="C109" i="38" s="1"/>
  <c r="C110" i="38" s="1"/>
  <c r="C111" i="38" s="1"/>
  <c r="C112" i="38" s="1"/>
  <c r="C113" i="38" s="1"/>
  <c r="C114" i="38" s="1"/>
  <c r="C115" i="38" s="1"/>
  <c r="C116" i="38" s="1"/>
  <c r="C117" i="38" s="1"/>
  <c r="C118" i="38" s="1"/>
  <c r="C119" i="38" s="1"/>
  <c r="C120" i="38" s="1"/>
  <c r="C121" i="38" s="1"/>
  <c r="C122" i="38" s="1"/>
  <c r="C123" i="38" s="1"/>
  <c r="C124" i="38" s="1"/>
  <c r="C125" i="38" s="1"/>
  <c r="C126" i="38" s="1"/>
  <c r="C127" i="38" s="1"/>
  <c r="C128" i="38" s="1"/>
  <c r="C129" i="38" s="1"/>
  <c r="C130" i="38" s="1"/>
  <c r="C131" i="38" s="1"/>
  <c r="C132" i="38" s="1"/>
  <c r="C133" i="38" s="1"/>
  <c r="C134" i="38" s="1"/>
  <c r="C135" i="38" s="1"/>
  <c r="C136" i="38" s="1"/>
  <c r="C137" i="38" s="1"/>
  <c r="C138" i="38" s="1"/>
  <c r="C139" i="38" s="1"/>
  <c r="C140" i="38" s="1"/>
  <c r="C141" i="38" s="1"/>
  <c r="C142" i="38" s="1"/>
  <c r="C143" i="38" s="1"/>
  <c r="C144" i="38" s="1"/>
  <c r="C145" i="38" s="1"/>
  <c r="C146" i="38" s="1"/>
  <c r="C147" i="38" s="1"/>
  <c r="C148" i="38" s="1"/>
  <c r="C149" i="38" s="1"/>
  <c r="C150" i="38" s="1"/>
  <c r="C151" i="38" s="1"/>
  <c r="C152" i="38" s="1"/>
  <c r="C153" i="38" s="1"/>
  <c r="C154" i="38" s="1"/>
  <c r="C155" i="38" s="1"/>
  <c r="B19" i="35"/>
  <c r="B21" i="25"/>
  <c r="B18" i="37"/>
  <c r="B23" i="27"/>
  <c r="B19" i="31"/>
  <c r="D13" i="26"/>
  <c r="D94" i="22"/>
  <c r="C100" i="22" s="1"/>
  <c r="D95" i="22"/>
  <c r="P100" i="3"/>
  <c r="D100" i="20"/>
  <c r="B100" i="20" s="1"/>
  <c r="O17" i="28"/>
  <c r="P101" i="13"/>
  <c r="P120" i="19"/>
  <c r="P108" i="19"/>
  <c r="P103" i="20"/>
  <c r="P146" i="21"/>
  <c r="P142" i="21"/>
  <c r="P104" i="13"/>
  <c r="A9" i="17"/>
  <c r="P131" i="18"/>
  <c r="P127" i="18"/>
  <c r="P119" i="18"/>
  <c r="P115" i="18"/>
  <c r="P155" i="19"/>
  <c r="P151" i="19"/>
  <c r="P147" i="19"/>
  <c r="P143" i="19"/>
  <c r="P139" i="19"/>
  <c r="P135" i="19"/>
  <c r="P131" i="19"/>
  <c r="P115" i="19"/>
  <c r="P151" i="20"/>
  <c r="P115" i="20"/>
  <c r="P114" i="18"/>
  <c r="P110" i="18"/>
  <c r="P150" i="19"/>
  <c r="P146" i="19"/>
  <c r="P142" i="19"/>
  <c r="P130" i="19"/>
  <c r="P106" i="20"/>
  <c r="P133" i="21"/>
  <c r="P125" i="21"/>
  <c r="P146" i="4"/>
  <c r="P142" i="4"/>
  <c r="P138" i="4"/>
  <c r="P134" i="4"/>
  <c r="P126" i="4"/>
  <c r="P127" i="13"/>
  <c r="P119" i="13"/>
  <c r="P115" i="13"/>
  <c r="P111" i="13"/>
  <c r="P121" i="20"/>
  <c r="P113" i="20"/>
  <c r="P105" i="20"/>
  <c r="P132" i="21"/>
  <c r="P112" i="21"/>
  <c r="P101" i="19"/>
  <c r="P104" i="20"/>
  <c r="P151" i="21"/>
  <c r="P106" i="24"/>
  <c r="O43" i="29"/>
  <c r="O58" i="29"/>
  <c r="O54" i="31"/>
  <c r="O24" i="3"/>
  <c r="P105" i="18"/>
  <c r="O45" i="37"/>
  <c r="O24" i="18"/>
  <c r="P106" i="19"/>
  <c r="O22" i="27"/>
  <c r="P123" i="24"/>
  <c r="P104" i="19"/>
  <c r="P106" i="25"/>
  <c r="P110" i="25"/>
  <c r="P114" i="25"/>
  <c r="P122" i="25"/>
  <c r="P116" i="27"/>
  <c r="P124" i="27"/>
  <c r="P128" i="27"/>
  <c r="P103" i="19"/>
  <c r="O65" i="31"/>
  <c r="O31" i="34"/>
  <c r="O69" i="34"/>
  <c r="P106" i="3"/>
  <c r="O56" i="37"/>
  <c r="P104" i="27"/>
  <c r="O73" i="38"/>
  <c r="O21" i="28"/>
  <c r="O30" i="37"/>
  <c r="O47" i="37"/>
  <c r="P103" i="22"/>
  <c r="O22" i="24"/>
  <c r="O19" i="29"/>
  <c r="O31" i="38"/>
  <c r="P113" i="24"/>
  <c r="P121" i="24"/>
  <c r="P112" i="26"/>
  <c r="P120" i="26"/>
  <c r="P124" i="26"/>
  <c r="P121" i="27"/>
  <c r="P125" i="27"/>
  <c r="P129" i="27"/>
  <c r="O32" i="31"/>
  <c r="O17" i="34"/>
  <c r="P104" i="25"/>
  <c r="P116" i="25"/>
  <c r="P120" i="25"/>
  <c r="O21" i="21"/>
  <c r="O58" i="37"/>
  <c r="P107" i="3"/>
  <c r="O21" i="23"/>
  <c r="P104" i="24"/>
  <c r="P125" i="34"/>
  <c r="P102" i="38"/>
  <c r="P106" i="38"/>
  <c r="P114" i="38"/>
  <c r="P130" i="38"/>
  <c r="P113" i="28"/>
  <c r="P117" i="28"/>
  <c r="P125" i="28"/>
  <c r="P110" i="29"/>
  <c r="P114" i="29"/>
  <c r="P130" i="29"/>
  <c r="P125" i="31"/>
  <c r="P129" i="31"/>
  <c r="P137" i="31"/>
  <c r="P145" i="31"/>
  <c r="P102" i="34"/>
  <c r="P106" i="34"/>
  <c r="P110" i="34"/>
  <c r="P114" i="34"/>
  <c r="P126" i="34"/>
  <c r="P130" i="34"/>
  <c r="P103" i="37"/>
  <c r="P107" i="37"/>
  <c r="P111" i="37"/>
  <c r="P103" i="38"/>
  <c r="P119" i="38"/>
  <c r="P123" i="38"/>
  <c r="P127" i="38"/>
  <c r="P131" i="38"/>
  <c r="F88" i="2"/>
  <c r="F89" i="2" s="1"/>
  <c r="F91" i="2" s="1"/>
  <c r="F92" i="2" s="1"/>
  <c r="F93" i="2" s="1"/>
  <c r="P110" i="28"/>
  <c r="P130" i="31"/>
  <c r="P134" i="31"/>
  <c r="P146" i="31"/>
  <c r="P128" i="37"/>
  <c r="P101" i="38"/>
  <c r="P147" i="31"/>
  <c r="P155" i="3"/>
  <c r="P143" i="3"/>
  <c r="P139" i="3"/>
  <c r="P135" i="3"/>
  <c r="P131" i="3"/>
  <c r="P154" i="20"/>
  <c r="P142" i="20"/>
  <c r="P138" i="20"/>
  <c r="P134" i="20"/>
  <c r="P130" i="20"/>
  <c r="P126" i="20"/>
  <c r="P122" i="20"/>
  <c r="P118" i="20"/>
  <c r="P114" i="20"/>
  <c r="P110" i="20"/>
  <c r="P122" i="21"/>
  <c r="P118" i="21"/>
  <c r="P106" i="21"/>
  <c r="P108" i="22"/>
  <c r="P112" i="22"/>
  <c r="P116" i="23"/>
  <c r="P120" i="23"/>
  <c r="P124" i="23"/>
  <c r="P128" i="23"/>
  <c r="P107" i="25"/>
  <c r="P111" i="25"/>
  <c r="P115" i="25"/>
  <c r="P111" i="26"/>
  <c r="P115" i="26"/>
  <c r="P119" i="26"/>
  <c r="P127" i="26"/>
  <c r="P131" i="26"/>
  <c r="P105" i="31"/>
  <c r="P109" i="31"/>
  <c r="P113" i="31"/>
  <c r="P117" i="31"/>
  <c r="P121" i="31"/>
  <c r="P153" i="31"/>
  <c r="P103" i="34"/>
  <c r="P107" i="34"/>
  <c r="P123" i="34"/>
  <c r="P104" i="35"/>
  <c r="P108" i="35"/>
  <c r="P112" i="35"/>
  <c r="P116" i="35"/>
  <c r="P120" i="35"/>
  <c r="P123" i="37"/>
  <c r="P131" i="37"/>
  <c r="P116" i="38"/>
  <c r="P130" i="18"/>
  <c r="P122" i="19"/>
  <c r="P114" i="19"/>
  <c r="P149" i="21"/>
  <c r="P129" i="23"/>
  <c r="P117" i="24"/>
  <c r="P125" i="24"/>
  <c r="P129" i="24"/>
  <c r="P126" i="31"/>
  <c r="P150" i="31"/>
  <c r="P154" i="31"/>
  <c r="P105" i="35"/>
  <c r="P109" i="35"/>
  <c r="P113" i="35"/>
  <c r="P117" i="35"/>
  <c r="P150" i="3"/>
  <c r="P117" i="20"/>
  <c r="P152" i="21"/>
  <c r="P110" i="22"/>
  <c r="P108" i="25"/>
  <c r="P117" i="26"/>
  <c r="P106" i="27"/>
  <c r="P110" i="27"/>
  <c r="P114" i="27"/>
  <c r="P118" i="27"/>
  <c r="P122" i="27"/>
  <c r="P126" i="27"/>
  <c r="P130" i="27"/>
  <c r="P107" i="28"/>
  <c r="P123" i="28"/>
  <c r="P127" i="28"/>
  <c r="P108" i="29"/>
  <c r="P112" i="29"/>
  <c r="P116" i="29"/>
  <c r="P120" i="29"/>
  <c r="P124" i="29"/>
  <c r="P128" i="29"/>
  <c r="P103" i="31"/>
  <c r="P119" i="31"/>
  <c r="P117" i="37"/>
  <c r="P129" i="38"/>
  <c r="P141" i="18"/>
  <c r="P118" i="38"/>
  <c r="P122" i="38"/>
  <c r="P105" i="13"/>
  <c r="P132" i="18"/>
  <c r="P139" i="21"/>
  <c r="P128" i="21"/>
  <c r="P125" i="25"/>
  <c r="P116" i="28"/>
  <c r="P120" i="28"/>
  <c r="P128" i="3"/>
  <c r="P124" i="3"/>
  <c r="P120" i="3"/>
  <c r="P116" i="3"/>
  <c r="P112" i="3"/>
  <c r="P155" i="4"/>
  <c r="P151" i="4"/>
  <c r="P147" i="4"/>
  <c r="P143" i="4"/>
  <c r="P139" i="4"/>
  <c r="P135" i="4"/>
  <c r="P131" i="4"/>
  <c r="P127" i="4"/>
  <c r="P123" i="4"/>
  <c r="P119" i="4"/>
  <c r="P115" i="4"/>
  <c r="P111" i="4"/>
  <c r="P147" i="20"/>
  <c r="P143" i="20"/>
  <c r="P127" i="21"/>
  <c r="P115" i="21"/>
  <c r="P106" i="26"/>
  <c r="P118" i="26"/>
  <c r="P108" i="27"/>
  <c r="P126" i="29"/>
  <c r="P119" i="37"/>
  <c r="P116" i="4"/>
  <c r="P152" i="19"/>
  <c r="P148" i="19"/>
  <c r="P140" i="19"/>
  <c r="P136" i="19"/>
  <c r="P128" i="19"/>
  <c r="P116" i="19"/>
  <c r="P144" i="20"/>
  <c r="P106" i="22"/>
  <c r="P114" i="23"/>
  <c r="P122" i="23"/>
  <c r="P126" i="23"/>
  <c r="P130" i="23"/>
  <c r="P110" i="24"/>
  <c r="P109" i="26"/>
  <c r="P113" i="26"/>
  <c r="P125" i="26"/>
  <c r="P131" i="28"/>
  <c r="P107" i="31"/>
  <c r="P111" i="31"/>
  <c r="P116" i="37"/>
  <c r="P120" i="37"/>
  <c r="P108" i="38"/>
  <c r="P112" i="38"/>
  <c r="P124" i="38"/>
  <c r="P128" i="18"/>
  <c r="P124" i="18"/>
  <c r="P120" i="18"/>
  <c r="P116" i="18"/>
  <c r="P112" i="18"/>
  <c r="P108" i="18"/>
  <c r="P127" i="24"/>
  <c r="P143" i="31"/>
  <c r="P121" i="35"/>
  <c r="P124" i="13"/>
  <c r="P116" i="13"/>
  <c r="P108" i="13"/>
  <c r="P111" i="19"/>
  <c r="P118" i="25"/>
  <c r="P112" i="27"/>
  <c r="P125" i="38"/>
  <c r="P150" i="4"/>
  <c r="P122" i="4"/>
  <c r="P131" i="13"/>
  <c r="P111" i="20"/>
  <c r="P107" i="20"/>
  <c r="P150" i="21"/>
  <c r="P119" i="21"/>
  <c r="P120" i="24"/>
  <c r="P124" i="24"/>
  <c r="P128" i="24"/>
  <c r="P120" i="27"/>
  <c r="P118" i="29"/>
  <c r="P122" i="29"/>
  <c r="P132" i="31"/>
  <c r="P136" i="31"/>
  <c r="P140" i="31"/>
  <c r="P109" i="34"/>
  <c r="P110" i="4"/>
  <c r="P126" i="19"/>
  <c r="P107" i="13"/>
  <c r="P134" i="21"/>
  <c r="P110" i="21"/>
  <c r="P114" i="28"/>
  <c r="P107" i="29"/>
  <c r="P148" i="31"/>
  <c r="P152" i="31"/>
  <c r="P142" i="3"/>
  <c r="P118" i="3"/>
  <c r="P149" i="4"/>
  <c r="P113" i="4"/>
  <c r="P102" i="13"/>
  <c r="P153" i="18"/>
  <c r="P149" i="18"/>
  <c r="P129" i="18"/>
  <c r="P121" i="18"/>
  <c r="P117" i="18"/>
  <c r="P137" i="19"/>
  <c r="P133" i="19"/>
  <c r="P129" i="19"/>
  <c r="P125" i="19"/>
  <c r="P113" i="19"/>
  <c r="P129" i="21"/>
  <c r="P117" i="21"/>
  <c r="P108" i="26"/>
  <c r="P116" i="26"/>
  <c r="P119" i="28"/>
  <c r="P128" i="4"/>
  <c r="P121" i="19"/>
  <c r="P110" i="19"/>
  <c r="P154" i="21"/>
  <c r="P147" i="21"/>
  <c r="P143" i="21"/>
  <c r="P131" i="21"/>
  <c r="P113" i="21"/>
  <c r="P109" i="21"/>
  <c r="P109" i="22"/>
  <c r="P112" i="24"/>
  <c r="P123" i="26"/>
  <c r="P108" i="28"/>
  <c r="P130" i="28"/>
  <c r="P104" i="29"/>
  <c r="P102" i="31"/>
  <c r="P104" i="34"/>
  <c r="P108" i="34"/>
  <c r="P128" i="34"/>
  <c r="P106" i="35"/>
  <c r="P113" i="37"/>
  <c r="P124" i="37"/>
  <c r="P114" i="31"/>
  <c r="P118" i="31"/>
  <c r="P151" i="31"/>
  <c r="P155" i="31"/>
  <c r="P126" i="35"/>
  <c r="P152" i="3"/>
  <c r="P148" i="3"/>
  <c r="P144" i="3"/>
  <c r="P140" i="3"/>
  <c r="P118" i="18"/>
  <c r="P114" i="22"/>
  <c r="P115" i="31"/>
  <c r="P144" i="31"/>
  <c r="P117" i="38"/>
  <c r="P140" i="20"/>
  <c r="P136" i="20"/>
  <c r="P132" i="20"/>
  <c r="P128" i="20"/>
  <c r="P109" i="20"/>
  <c r="P113" i="29"/>
  <c r="P117" i="29"/>
  <c r="P118" i="37"/>
  <c r="P154" i="19"/>
  <c r="P123" i="19"/>
  <c r="P119" i="19"/>
  <c r="P141" i="21"/>
  <c r="P128" i="26"/>
  <c r="P138" i="31"/>
  <c r="P141" i="31"/>
  <c r="P149" i="31"/>
  <c r="P118" i="34"/>
  <c r="P115" i="38"/>
  <c r="P126" i="38"/>
  <c r="P119" i="23"/>
  <c r="P102" i="29"/>
  <c r="P115" i="37"/>
  <c r="P126" i="3"/>
  <c r="P122" i="3"/>
  <c r="P114" i="3"/>
  <c r="P153" i="4"/>
  <c r="P145" i="4"/>
  <c r="P141" i="4"/>
  <c r="P137" i="4"/>
  <c r="P133" i="4"/>
  <c r="P125" i="4"/>
  <c r="P109" i="4"/>
  <c r="P151" i="18"/>
  <c r="P147" i="18"/>
  <c r="P143" i="18"/>
  <c r="P139" i="18"/>
  <c r="P135" i="18"/>
  <c r="P138" i="19"/>
  <c r="P118" i="19"/>
  <c r="P121" i="21"/>
  <c r="P128" i="22"/>
  <c r="P108" i="23"/>
  <c r="P112" i="23"/>
  <c r="P105" i="26"/>
  <c r="P126" i="26"/>
  <c r="P111" i="28"/>
  <c r="P115" i="28"/>
  <c r="P111" i="34"/>
  <c r="P115" i="34"/>
  <c r="P127" i="34"/>
  <c r="P131" i="34"/>
  <c r="P124" i="35"/>
  <c r="P128" i="35"/>
  <c r="P104" i="38"/>
  <c r="P117" i="19"/>
  <c r="P116" i="22"/>
  <c r="P120" i="22"/>
  <c r="P124" i="22"/>
  <c r="P117" i="27"/>
  <c r="P124" i="28"/>
  <c r="P104" i="37"/>
  <c r="P108" i="37"/>
  <c r="P112" i="37"/>
  <c r="P107" i="38"/>
  <c r="P111" i="38"/>
  <c r="J96" i="38"/>
  <c r="F18" i="2"/>
  <c r="P121" i="28"/>
  <c r="P145" i="18"/>
  <c r="P137" i="18"/>
  <c r="P133" i="18"/>
  <c r="P113" i="22"/>
  <c r="P130" i="25"/>
  <c r="P127" i="19"/>
  <c r="P137" i="21"/>
  <c r="P111" i="27"/>
  <c r="P128" i="38"/>
  <c r="C22" i="2"/>
  <c r="C55" i="2"/>
  <c r="C39" i="2"/>
  <c r="C82" i="2"/>
  <c r="C79" i="2"/>
  <c r="C8" i="2"/>
  <c r="C10" i="2"/>
  <c r="C56" i="2"/>
  <c r="C73" i="2"/>
  <c r="C62" i="2"/>
  <c r="C61" i="2"/>
  <c r="C80" i="2"/>
  <c r="P113" i="18"/>
  <c r="P111" i="29"/>
  <c r="P127" i="29"/>
  <c r="P142" i="31"/>
  <c r="F17" i="2"/>
  <c r="P107" i="24"/>
  <c r="P114" i="24"/>
  <c r="P100" i="13"/>
  <c r="P100" i="20"/>
  <c r="P155" i="21"/>
  <c r="P112" i="34"/>
  <c r="P105" i="22"/>
  <c r="P131" i="23"/>
  <c r="P134" i="3"/>
  <c r="P154" i="4"/>
  <c r="P118" i="4"/>
  <c r="P114" i="4"/>
  <c r="P155" i="18"/>
  <c r="P152" i="20"/>
  <c r="P148" i="20"/>
  <c r="P110" i="3"/>
  <c r="P123" i="18"/>
  <c r="P122" i="22"/>
  <c r="P130" i="22"/>
  <c r="P117" i="3"/>
  <c r="P148" i="4"/>
  <c r="P136" i="4"/>
  <c r="P146" i="18"/>
  <c r="P126" i="18"/>
  <c r="P111" i="18"/>
  <c r="P150" i="20"/>
  <c r="P146" i="20"/>
  <c r="P115" i="22"/>
  <c r="C128" i="23"/>
  <c r="C129" i="23" s="1"/>
  <c r="C130" i="23" s="1"/>
  <c r="C131" i="23" s="1"/>
  <c r="C132" i="23" s="1"/>
  <c r="C133" i="23" s="1"/>
  <c r="C134" i="23" s="1"/>
  <c r="C135" i="23" s="1"/>
  <c r="C136" i="23" s="1"/>
  <c r="C137" i="23" s="1"/>
  <c r="C138" i="23" s="1"/>
  <c r="C139" i="23" s="1"/>
  <c r="C140" i="23" s="1"/>
  <c r="C141" i="23" s="1"/>
  <c r="C142" i="23" s="1"/>
  <c r="C143" i="23" s="1"/>
  <c r="C144" i="23" s="1"/>
  <c r="C145" i="23" s="1"/>
  <c r="C146" i="23" s="1"/>
  <c r="C147" i="23" s="1"/>
  <c r="C148" i="23" s="1"/>
  <c r="C149" i="23" s="1"/>
  <c r="C150" i="23" s="1"/>
  <c r="C151" i="23" s="1"/>
  <c r="C152" i="23" s="1"/>
  <c r="C153" i="23" s="1"/>
  <c r="C154" i="23" s="1"/>
  <c r="C155" i="23" s="1"/>
  <c r="C128" i="4"/>
  <c r="C129" i="4" s="1"/>
  <c r="C130" i="4" s="1"/>
  <c r="C131" i="4" s="1"/>
  <c r="C132" i="4" s="1"/>
  <c r="C133" i="4" s="1"/>
  <c r="C134" i="4" s="1"/>
  <c r="C135" i="4" s="1"/>
  <c r="C136" i="4" s="1"/>
  <c r="C137" i="4" s="1"/>
  <c r="C138" i="4" s="1"/>
  <c r="C139" i="4" s="1"/>
  <c r="C140" i="4" s="1"/>
  <c r="C141" i="4" s="1"/>
  <c r="C142" i="4" s="1"/>
  <c r="C143" i="4" s="1"/>
  <c r="C144" i="4" s="1"/>
  <c r="C145" i="4" s="1"/>
  <c r="C146" i="4" s="1"/>
  <c r="C147" i="4" s="1"/>
  <c r="C148" i="4" s="1"/>
  <c r="C149" i="4" s="1"/>
  <c r="C150" i="4" s="1"/>
  <c r="C151" i="4" s="1"/>
  <c r="C152" i="4" s="1"/>
  <c r="C153" i="4" s="1"/>
  <c r="C154" i="4" s="1"/>
  <c r="C155" i="4" s="1"/>
  <c r="N5" i="35"/>
  <c r="D95" i="35"/>
  <c r="D94" i="35"/>
  <c r="N6" i="35"/>
  <c r="C128" i="20"/>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28" i="34"/>
  <c r="C129" i="34" s="1"/>
  <c r="C130" i="34" s="1"/>
  <c r="C131" i="34" s="1"/>
  <c r="C132" i="34" s="1"/>
  <c r="C133" i="34" s="1"/>
  <c r="C134" i="34" s="1"/>
  <c r="C135" i="34" s="1"/>
  <c r="C136" i="34" s="1"/>
  <c r="C137" i="34" s="1"/>
  <c r="C138" i="34" s="1"/>
  <c r="C139" i="34" s="1"/>
  <c r="C140" i="34" s="1"/>
  <c r="C141" i="34" s="1"/>
  <c r="C142" i="34" s="1"/>
  <c r="C143" i="34" s="1"/>
  <c r="C144" i="34" s="1"/>
  <c r="C145" i="34" s="1"/>
  <c r="C146" i="34" s="1"/>
  <c r="C147" i="34" s="1"/>
  <c r="C148" i="34" s="1"/>
  <c r="C149" i="34" s="1"/>
  <c r="C150" i="34" s="1"/>
  <c r="C151" i="34" s="1"/>
  <c r="C152" i="34" s="1"/>
  <c r="C153" i="34" s="1"/>
  <c r="C154" i="34" s="1"/>
  <c r="C155" i="34" s="1"/>
  <c r="C128" i="18"/>
  <c r="C129" i="18" s="1"/>
  <c r="C130" i="18" s="1"/>
  <c r="C131" i="18" s="1"/>
  <c r="C132" i="18" s="1"/>
  <c r="C133" i="18" s="1"/>
  <c r="C134" i="18" s="1"/>
  <c r="C135" i="18" s="1"/>
  <c r="C136" i="18" s="1"/>
  <c r="C137" i="18" s="1"/>
  <c r="C138" i="18" s="1"/>
  <c r="C139" i="18" s="1"/>
  <c r="C140" i="18" s="1"/>
  <c r="C141" i="18" s="1"/>
  <c r="C142" i="18" s="1"/>
  <c r="C143" i="18" s="1"/>
  <c r="C144" i="18" s="1"/>
  <c r="C145" i="18" s="1"/>
  <c r="C146" i="18" s="1"/>
  <c r="C147" i="18" s="1"/>
  <c r="C148" i="18" s="1"/>
  <c r="C149" i="18" s="1"/>
  <c r="C150" i="18" s="1"/>
  <c r="C151" i="18" s="1"/>
  <c r="C152" i="18" s="1"/>
  <c r="C153" i="18" s="1"/>
  <c r="C154" i="18" s="1"/>
  <c r="C155" i="18" s="1"/>
  <c r="P111" i="23"/>
  <c r="P107" i="22"/>
  <c r="P118" i="23"/>
  <c r="C100" i="25"/>
  <c r="C101" i="25" s="1"/>
  <c r="C102" i="25" s="1"/>
  <c r="C103" i="25" s="1"/>
  <c r="C104" i="25" s="1"/>
  <c r="C105" i="25" s="1"/>
  <c r="C106" i="25" s="1"/>
  <c r="C107" i="25" s="1"/>
  <c r="C108" i="25" s="1"/>
  <c r="C109" i="25" s="1"/>
  <c r="C110" i="25" s="1"/>
  <c r="C111" i="25" s="1"/>
  <c r="C112" i="25" s="1"/>
  <c r="C113" i="25" s="1"/>
  <c r="C114" i="25" s="1"/>
  <c r="C115" i="25" s="1"/>
  <c r="C116" i="25" s="1"/>
  <c r="C117" i="25" s="1"/>
  <c r="C118" i="25" s="1"/>
  <c r="C119" i="25" s="1"/>
  <c r="C120" i="25" s="1"/>
  <c r="C121" i="25" s="1"/>
  <c r="C122" i="25" s="1"/>
  <c r="C123" i="25" s="1"/>
  <c r="C124" i="25" s="1"/>
  <c r="C125" i="25" s="1"/>
  <c r="C126" i="25" s="1"/>
  <c r="C127" i="25" s="1"/>
  <c r="C18" i="17"/>
  <c r="C26" i="17"/>
  <c r="C20" i="17"/>
  <c r="C30" i="17"/>
  <c r="C25" i="17"/>
  <c r="C32" i="17"/>
  <c r="C24" i="17"/>
  <c r="C23" i="17"/>
  <c r="C27" i="17"/>
  <c r="C19" i="17"/>
  <c r="C28" i="17"/>
  <c r="C22" i="17"/>
  <c r="C34" i="17"/>
  <c r="C29" i="17"/>
  <c r="C21" i="17"/>
  <c r="C35" i="17"/>
  <c r="C33" i="17"/>
  <c r="C31" i="17"/>
  <c r="C36" i="17"/>
  <c r="C101" i="22" l="1"/>
  <c r="C102" i="22" s="1"/>
  <c r="C103" i="22" s="1"/>
  <c r="C104" i="22" s="1"/>
  <c r="C105" i="22" s="1"/>
  <c r="C106" i="22" s="1"/>
  <c r="C107" i="22" s="1"/>
  <c r="C108" i="22" s="1"/>
  <c r="C109" i="22" s="1"/>
  <c r="C110" i="22" s="1"/>
  <c r="C111" i="22" s="1"/>
  <c r="C112" i="22" s="1"/>
  <c r="C113" i="22" s="1"/>
  <c r="C114" i="22" s="1"/>
  <c r="C115" i="22" s="1"/>
  <c r="C116" i="22" s="1"/>
  <c r="C117" i="22" s="1"/>
  <c r="C118" i="22" s="1"/>
  <c r="C119" i="22" s="1"/>
  <c r="C120" i="22" s="1"/>
  <c r="C121" i="22" s="1"/>
  <c r="C122" i="22" s="1"/>
  <c r="C123" i="22" s="1"/>
  <c r="C124" i="22" s="1"/>
  <c r="C125" i="22" s="1"/>
  <c r="C126" i="22" s="1"/>
  <c r="C127" i="22" s="1"/>
  <c r="N7" i="34"/>
  <c r="K21" i="17"/>
  <c r="K20" i="17"/>
  <c r="K32" i="17"/>
  <c r="K35" i="17"/>
  <c r="K18" i="17"/>
  <c r="K24" i="17"/>
  <c r="K33" i="17"/>
  <c r="K19" i="17"/>
  <c r="K30" i="17"/>
  <c r="K25" i="17"/>
  <c r="K34" i="17"/>
  <c r="K28" i="17"/>
  <c r="K31" i="17"/>
  <c r="K26" i="17"/>
  <c r="K27" i="17"/>
  <c r="K29" i="17"/>
  <c r="K36" i="17"/>
  <c r="K23" i="17"/>
  <c r="C128" i="29"/>
  <c r="C129" i="29" s="1"/>
  <c r="C130" i="29" s="1"/>
  <c r="C131" i="29" s="1"/>
  <c r="C132" i="29" s="1"/>
  <c r="C133" i="29" s="1"/>
  <c r="C134" i="29" s="1"/>
  <c r="C135" i="29" s="1"/>
  <c r="C136" i="29" s="1"/>
  <c r="C137" i="29" s="1"/>
  <c r="C138" i="29" s="1"/>
  <c r="C139" i="29" s="1"/>
  <c r="C140" i="29" s="1"/>
  <c r="C141" i="29" s="1"/>
  <c r="C142" i="29" s="1"/>
  <c r="C143" i="29" s="1"/>
  <c r="C144" i="29" s="1"/>
  <c r="C145" i="29" s="1"/>
  <c r="C146" i="29" s="1"/>
  <c r="C147" i="29" s="1"/>
  <c r="C148" i="29" s="1"/>
  <c r="C149" i="29" s="1"/>
  <c r="C150" i="29" s="1"/>
  <c r="C151" i="29" s="1"/>
  <c r="C152" i="29" s="1"/>
  <c r="C153" i="29" s="1"/>
  <c r="C154" i="29" s="1"/>
  <c r="C155" i="29" s="1"/>
  <c r="D13" i="31"/>
  <c r="C33" i="31" s="1"/>
  <c r="C34" i="31" s="1"/>
  <c r="C35" i="31" s="1"/>
  <c r="C36" i="31" s="1"/>
  <c r="C37" i="31" s="1"/>
  <c r="C38" i="31" s="1"/>
  <c r="C39" i="31" s="1"/>
  <c r="C40" i="31" s="1"/>
  <c r="C41" i="31" s="1"/>
  <c r="C42" i="31" s="1"/>
  <c r="C43" i="31" s="1"/>
  <c r="C44" i="31" s="1"/>
  <c r="C45" i="31" s="1"/>
  <c r="D13" i="34"/>
  <c r="I14" i="34" s="1"/>
  <c r="D13" i="21"/>
  <c r="C33" i="21" s="1"/>
  <c r="C34" i="21" s="1"/>
  <c r="C35" i="21" s="1"/>
  <c r="C36" i="21" s="1"/>
  <c r="C37" i="21" s="1"/>
  <c r="C38" i="21" s="1"/>
  <c r="C39" i="21" s="1"/>
  <c r="C40" i="21" s="1"/>
  <c r="C41" i="21" s="1"/>
  <c r="C42" i="21" s="1"/>
  <c r="C43" i="21" s="1"/>
  <c r="C44" i="21" s="1"/>
  <c r="C45" i="21" s="1"/>
  <c r="C33" i="3"/>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I14" i="3"/>
  <c r="D13" i="25"/>
  <c r="I14" i="25" s="1"/>
  <c r="D13" i="27"/>
  <c r="I14" i="27" s="1"/>
  <c r="D13" i="19"/>
  <c r="C33" i="19" s="1"/>
  <c r="C34" i="19" s="1"/>
  <c r="C35" i="19" s="1"/>
  <c r="C36" i="19" s="1"/>
  <c r="C37" i="19" s="1"/>
  <c r="C38" i="19" s="1"/>
  <c r="C39" i="19" s="1"/>
  <c r="C40" i="19" s="1"/>
  <c r="C41" i="19" s="1"/>
  <c r="C42" i="19" s="1"/>
  <c r="C43" i="19" s="1"/>
  <c r="C44" i="19" s="1"/>
  <c r="C45" i="19" s="1"/>
  <c r="D13" i="22"/>
  <c r="I14" i="22" s="1"/>
  <c r="D13" i="29"/>
  <c r="C33" i="29" s="1"/>
  <c r="C34" i="29" s="1"/>
  <c r="C35" i="29" s="1"/>
  <c r="C36" i="29" s="1"/>
  <c r="C37" i="29" s="1"/>
  <c r="C38" i="29" s="1"/>
  <c r="C39" i="29" s="1"/>
  <c r="C40" i="29" s="1"/>
  <c r="C41" i="29" s="1"/>
  <c r="C42" i="29" s="1"/>
  <c r="C43" i="29" s="1"/>
  <c r="C44" i="29" s="1"/>
  <c r="C45" i="29" s="1"/>
  <c r="D13" i="35"/>
  <c r="C73" i="35" s="1"/>
  <c r="D13" i="18"/>
  <c r="C33" i="18" s="1"/>
  <c r="C34" i="18" s="1"/>
  <c r="C35" i="18" s="1"/>
  <c r="C36" i="18" s="1"/>
  <c r="C37" i="18" s="1"/>
  <c r="C38" i="18" s="1"/>
  <c r="C39" i="18" s="1"/>
  <c r="C40" i="18" s="1"/>
  <c r="C41" i="18" s="1"/>
  <c r="C42" i="18" s="1"/>
  <c r="C43" i="18" s="1"/>
  <c r="C44" i="18" s="1"/>
  <c r="C45" i="18" s="1"/>
  <c r="D13" i="4"/>
  <c r="I14" i="4" s="1"/>
  <c r="D13" i="24"/>
  <c r="D13" i="28"/>
  <c r="I14" i="28" s="1"/>
  <c r="D13" i="20"/>
  <c r="D13" i="13"/>
  <c r="C73" i="13" s="1"/>
  <c r="D13" i="37"/>
  <c r="D13" i="38"/>
  <c r="C73" i="38" s="1"/>
  <c r="D13" i="23"/>
  <c r="C101" i="13"/>
  <c r="C102" i="13" s="1"/>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F100" i="13"/>
  <c r="G18" i="20"/>
  <c r="E19" i="20"/>
  <c r="F19" i="20" s="1"/>
  <c r="H18" i="20"/>
  <c r="N7" i="37"/>
  <c r="F20" i="1"/>
  <c r="E25" i="1" s="1"/>
  <c r="E26" i="1" s="1"/>
  <c r="E30" i="1" s="1"/>
  <c r="I13" i="13"/>
  <c r="G17" i="13"/>
  <c r="I13" i="24"/>
  <c r="D19" i="13"/>
  <c r="G18" i="13"/>
  <c r="D96" i="27"/>
  <c r="J97" i="27" s="1"/>
  <c r="D96" i="24"/>
  <c r="J97" i="24" s="1"/>
  <c r="D96" i="29"/>
  <c r="J97" i="29" s="1"/>
  <c r="C33" i="25"/>
  <c r="C34" i="25" s="1"/>
  <c r="C35" i="25" s="1"/>
  <c r="C36" i="25" s="1"/>
  <c r="C37" i="25" s="1"/>
  <c r="C38" i="25" s="1"/>
  <c r="C39" i="25" s="1"/>
  <c r="C40" i="25" s="1"/>
  <c r="C41" i="25" s="1"/>
  <c r="I14" i="29"/>
  <c r="I14" i="37"/>
  <c r="C73" i="37"/>
  <c r="I14" i="31"/>
  <c r="I14" i="21"/>
  <c r="C33" i="22"/>
  <c r="C34" i="22" s="1"/>
  <c r="C35" i="22" s="1"/>
  <c r="C36" i="22" s="1"/>
  <c r="C37" i="22" s="1"/>
  <c r="C38" i="22" s="1"/>
  <c r="C39" i="22" s="1"/>
  <c r="C40" i="22" s="1"/>
  <c r="C41" i="22" s="1"/>
  <c r="C42" i="22" s="1"/>
  <c r="C43" i="22" s="1"/>
  <c r="C44" i="22" s="1"/>
  <c r="C45" i="22" s="1"/>
  <c r="I14" i="26"/>
  <c r="C33" i="26"/>
  <c r="C34" i="26" s="1"/>
  <c r="C35" i="26" s="1"/>
  <c r="C36" i="26" s="1"/>
  <c r="C37" i="26" s="1"/>
  <c r="C38" i="26" s="1"/>
  <c r="C39" i="26" s="1"/>
  <c r="C40" i="26" s="1"/>
  <c r="C41" i="26" s="1"/>
  <c r="C42" i="26" s="1"/>
  <c r="C43" i="26" s="1"/>
  <c r="C44" i="26" s="1"/>
  <c r="C45" i="26" s="1"/>
  <c r="C73" i="34"/>
  <c r="D96" i="23"/>
  <c r="J97" i="23" s="1"/>
  <c r="D105" i="23" s="1"/>
  <c r="D96" i="21"/>
  <c r="J97" i="21" s="1"/>
  <c r="D96" i="18"/>
  <c r="J97" i="18" s="1"/>
  <c r="D96" i="20"/>
  <c r="D96" i="38"/>
  <c r="J97" i="38" s="1"/>
  <c r="E100" i="38" s="1"/>
  <c r="F100" i="38" s="1"/>
  <c r="G100" i="38" s="1"/>
  <c r="D96" i="13"/>
  <c r="D96" i="34"/>
  <c r="J97" i="34" s="1"/>
  <c r="D96" i="22"/>
  <c r="J97" i="22" s="1"/>
  <c r="D96" i="3"/>
  <c r="J97" i="3" s="1"/>
  <c r="E109" i="3" s="1"/>
  <c r="F109" i="3" s="1"/>
  <c r="G109" i="3" s="1"/>
  <c r="D96" i="4"/>
  <c r="J97" i="4" s="1"/>
  <c r="D96" i="31"/>
  <c r="J97" i="31" s="1"/>
  <c r="D96" i="37"/>
  <c r="J97" i="37" s="1"/>
  <c r="D96" i="35"/>
  <c r="J97" i="35" s="1"/>
  <c r="D96" i="26"/>
  <c r="J97" i="26" s="1"/>
  <c r="D96" i="28"/>
  <c r="J97" i="28" s="1"/>
  <c r="D96" i="19"/>
  <c r="J97" i="19" s="1"/>
  <c r="D96" i="25"/>
  <c r="J97" i="25" s="1"/>
  <c r="G100" i="20"/>
  <c r="D101" i="20"/>
  <c r="E101" i="20" s="1"/>
  <c r="C128" i="22"/>
  <c r="C129" i="22" s="1"/>
  <c r="C130" i="22" s="1"/>
  <c r="C131" i="22" s="1"/>
  <c r="C132" i="22" s="1"/>
  <c r="C133" i="22" s="1"/>
  <c r="C134" i="22" s="1"/>
  <c r="C135" i="22" s="1"/>
  <c r="C136" i="22" s="1"/>
  <c r="C137" i="22" s="1"/>
  <c r="C138" i="22" s="1"/>
  <c r="C139" i="22" s="1"/>
  <c r="C140" i="22" s="1"/>
  <c r="C141" i="22" s="1"/>
  <c r="C142" i="22" s="1"/>
  <c r="C143" i="22" s="1"/>
  <c r="C144" i="22" s="1"/>
  <c r="C145" i="22" s="1"/>
  <c r="C146" i="22" s="1"/>
  <c r="C147" i="22" s="1"/>
  <c r="C148" i="22" s="1"/>
  <c r="C149" i="22" s="1"/>
  <c r="C150" i="22" s="1"/>
  <c r="C151" i="22" s="1"/>
  <c r="C152" i="22" s="1"/>
  <c r="C153" i="22" s="1"/>
  <c r="C154" i="22" s="1"/>
  <c r="C155" i="22" s="1"/>
  <c r="C128" i="25"/>
  <c r="C129" i="25" s="1"/>
  <c r="C130" i="25" s="1"/>
  <c r="C131" i="25" s="1"/>
  <c r="C132" i="25" s="1"/>
  <c r="C133" i="25" s="1"/>
  <c r="C134" i="25" s="1"/>
  <c r="C135" i="25" s="1"/>
  <c r="C136" i="25" s="1"/>
  <c r="C137" i="25" s="1"/>
  <c r="C138" i="25" s="1"/>
  <c r="C139" i="25" s="1"/>
  <c r="C140" i="25" s="1"/>
  <c r="C141" i="25" s="1"/>
  <c r="C142" i="25" s="1"/>
  <c r="C143" i="25" s="1"/>
  <c r="C144" i="25" s="1"/>
  <c r="C145" i="25" s="1"/>
  <c r="C146" i="25" s="1"/>
  <c r="C147" i="25" s="1"/>
  <c r="C148" i="25" s="1"/>
  <c r="C149" i="25" s="1"/>
  <c r="C150" i="25" s="1"/>
  <c r="C151" i="25" s="1"/>
  <c r="C152" i="25" s="1"/>
  <c r="C153" i="25" s="1"/>
  <c r="C154" i="25" s="1"/>
  <c r="C155" i="25" s="1"/>
  <c r="N7" i="35"/>
  <c r="C100" i="35"/>
  <c r="C101" i="35" s="1"/>
  <c r="C102" i="35" s="1"/>
  <c r="C103" i="35" s="1"/>
  <c r="C104" i="35" s="1"/>
  <c r="C105" i="35" s="1"/>
  <c r="C106" i="35" s="1"/>
  <c r="C107" i="35" s="1"/>
  <c r="C108" i="35" s="1"/>
  <c r="C109" i="35" s="1"/>
  <c r="C110" i="35" s="1"/>
  <c r="C111" i="35" s="1"/>
  <c r="C112" i="35" s="1"/>
  <c r="C113" i="35" s="1"/>
  <c r="C114" i="35" s="1"/>
  <c r="C115" i="35" s="1"/>
  <c r="C116" i="35" s="1"/>
  <c r="C117" i="35" s="1"/>
  <c r="C118" i="35" s="1"/>
  <c r="C119" i="35" s="1"/>
  <c r="C120" i="35" s="1"/>
  <c r="C121" i="35" s="1"/>
  <c r="C122" i="35" s="1"/>
  <c r="C123" i="35" s="1"/>
  <c r="C124" i="35" s="1"/>
  <c r="C125" i="35" s="1"/>
  <c r="C126" i="35" s="1"/>
  <c r="C127" i="35" s="1"/>
  <c r="F34" i="17"/>
  <c r="F35" i="17"/>
  <c r="F33" i="17"/>
  <c r="H100" i="38" l="1"/>
  <c r="L100" i="38" s="1"/>
  <c r="M100" i="38" s="1"/>
  <c r="I100" i="38"/>
  <c r="N100" i="38" s="1"/>
  <c r="O100" i="38" s="1"/>
  <c r="D101" i="38"/>
  <c r="E101" i="38" s="1"/>
  <c r="P100" i="38"/>
  <c r="E19" i="37"/>
  <c r="F19" i="37" s="1"/>
  <c r="E20" i="37"/>
  <c r="G33" i="17"/>
  <c r="H109" i="3"/>
  <c r="I109" i="3"/>
  <c r="C33" i="4"/>
  <c r="C34" i="4" s="1"/>
  <c r="C35" i="4" s="1"/>
  <c r="C36" i="4" s="1"/>
  <c r="C37" i="4" s="1"/>
  <c r="C38" i="4" s="1"/>
  <c r="C39" i="4" s="1"/>
  <c r="C40" i="4" s="1"/>
  <c r="C41" i="4" s="1"/>
  <c r="C42" i="4" s="1"/>
  <c r="C43" i="4" s="1"/>
  <c r="C44" i="4" s="1"/>
  <c r="C45" i="4" s="1"/>
  <c r="I14" i="19"/>
  <c r="I14" i="35"/>
  <c r="C33" i="28"/>
  <c r="C34" i="28" s="1"/>
  <c r="C35" i="28" s="1"/>
  <c r="C36" i="28" s="1"/>
  <c r="C37" i="28" s="1"/>
  <c r="C38" i="28" s="1"/>
  <c r="C39" i="28" s="1"/>
  <c r="C40" i="28" s="1"/>
  <c r="C41" i="28" s="1"/>
  <c r="C42" i="28" s="1"/>
  <c r="C43" i="28" s="1"/>
  <c r="C44" i="28" s="1"/>
  <c r="C45" i="28" s="1"/>
  <c r="C46" i="28" s="1"/>
  <c r="C47" i="28" s="1"/>
  <c r="C48" i="28" s="1"/>
  <c r="C49" i="28" s="1"/>
  <c r="C50" i="28" s="1"/>
  <c r="C51" i="28" s="1"/>
  <c r="C52" i="28" s="1"/>
  <c r="C53" i="28" s="1"/>
  <c r="C54" i="28" s="1"/>
  <c r="C55" i="28" s="1"/>
  <c r="C56" i="28" s="1"/>
  <c r="C57" i="28" s="1"/>
  <c r="C58" i="28" s="1"/>
  <c r="C59" i="28" s="1"/>
  <c r="C60" i="28" s="1"/>
  <c r="C61" i="28" s="1"/>
  <c r="C62" i="28" s="1"/>
  <c r="C63" i="28" s="1"/>
  <c r="C64" i="28" s="1"/>
  <c r="C65" i="28" s="1"/>
  <c r="C66" i="28" s="1"/>
  <c r="C67" i="28" s="1"/>
  <c r="C68" i="28" s="1"/>
  <c r="C69" i="28" s="1"/>
  <c r="C70" i="28" s="1"/>
  <c r="C71" i="28" s="1"/>
  <c r="C72" i="28" s="1"/>
  <c r="C73" i="28" s="1"/>
  <c r="N5" i="13"/>
  <c r="I14" i="18"/>
  <c r="N5" i="3"/>
  <c r="E32" i="1"/>
  <c r="E33" i="1" s="1"/>
  <c r="E35" i="1" s="1"/>
  <c r="F52" i="1" s="1"/>
  <c r="F51" i="1"/>
  <c r="N6" i="3"/>
  <c r="B101" i="38"/>
  <c r="I14" i="38"/>
  <c r="I14" i="24"/>
  <c r="C33" i="24"/>
  <c r="C34" i="24" s="1"/>
  <c r="C35" i="24" s="1"/>
  <c r="C36" i="24" s="1"/>
  <c r="C37" i="24" s="1"/>
  <c r="C38" i="24" s="1"/>
  <c r="C39" i="24" s="1"/>
  <c r="C40" i="24" s="1"/>
  <c r="C41" i="24" s="1"/>
  <c r="C42" i="24" s="1"/>
  <c r="C43" i="24" s="1"/>
  <c r="C44" i="24" s="1"/>
  <c r="C45" i="24" s="1"/>
  <c r="C33" i="27"/>
  <c r="C34" i="27" s="1"/>
  <c r="C35" i="27" s="1"/>
  <c r="C36" i="27" s="1"/>
  <c r="C37" i="27" s="1"/>
  <c r="C38" i="27" s="1"/>
  <c r="C39" i="27" s="1"/>
  <c r="C40" i="27" s="1"/>
  <c r="C41" i="27" s="1"/>
  <c r="C42" i="27" s="1"/>
  <c r="C43" i="27" s="1"/>
  <c r="C44" i="27" s="1"/>
  <c r="C45" i="27" s="1"/>
  <c r="N5" i="27" s="1"/>
  <c r="I14" i="23"/>
  <c r="C33" i="23"/>
  <c r="C34" i="23" s="1"/>
  <c r="C35" i="23" s="1"/>
  <c r="C36" i="23" s="1"/>
  <c r="C37" i="23" s="1"/>
  <c r="C38" i="23" s="1"/>
  <c r="C39" i="23" s="1"/>
  <c r="C40" i="23" s="1"/>
  <c r="C41" i="23" s="1"/>
  <c r="C42" i="23" s="1"/>
  <c r="C43" i="23" s="1"/>
  <c r="C44" i="23" s="1"/>
  <c r="C45" i="23" s="1"/>
  <c r="G100" i="13"/>
  <c r="D101" i="13"/>
  <c r="I18" i="20"/>
  <c r="B20" i="20"/>
  <c r="H19" i="20"/>
  <c r="G19" i="20"/>
  <c r="E20" i="20"/>
  <c r="F20" i="20" s="1"/>
  <c r="H20" i="20" s="1"/>
  <c r="G35" i="17"/>
  <c r="E105" i="23"/>
  <c r="F105" i="23" s="1"/>
  <c r="E106" i="23" s="1"/>
  <c r="B19" i="13"/>
  <c r="H17" i="13"/>
  <c r="I17" i="13" s="1"/>
  <c r="H18" i="13"/>
  <c r="E19" i="13"/>
  <c r="F19" i="13" s="1"/>
  <c r="C46" i="21"/>
  <c r="C47" i="21" s="1"/>
  <c r="C48" i="21" s="1"/>
  <c r="C49" i="21" s="1"/>
  <c r="C50" i="21" s="1"/>
  <c r="C51" i="21" s="1"/>
  <c r="C52" i="21" s="1"/>
  <c r="C53" i="21" s="1"/>
  <c r="C54" i="21" s="1"/>
  <c r="C55" i="21" s="1"/>
  <c r="C56" i="21" s="1"/>
  <c r="C57" i="21" s="1"/>
  <c r="C58" i="21" s="1"/>
  <c r="C59" i="21" s="1"/>
  <c r="C60" i="21" s="1"/>
  <c r="C61" i="21" s="1"/>
  <c r="C62" i="21" s="1"/>
  <c r="C63" i="21" s="1"/>
  <c r="C64" i="21" s="1"/>
  <c r="C65" i="21" s="1"/>
  <c r="C66" i="21" s="1"/>
  <c r="C67" i="21" s="1"/>
  <c r="C68" i="21" s="1"/>
  <c r="C69" i="21" s="1"/>
  <c r="C70" i="21" s="1"/>
  <c r="C71" i="21" s="1"/>
  <c r="C72" i="21" s="1"/>
  <c r="C73" i="21" s="1"/>
  <c r="N5" i="21"/>
  <c r="N6" i="21"/>
  <c r="N5" i="29"/>
  <c r="C46" i="29"/>
  <c r="C47" i="29" s="1"/>
  <c r="C48" i="29" s="1"/>
  <c r="C49" i="29" s="1"/>
  <c r="C50" i="29" s="1"/>
  <c r="C51" i="29" s="1"/>
  <c r="C52" i="29" s="1"/>
  <c r="C53" i="29" s="1"/>
  <c r="C54" i="29" s="1"/>
  <c r="C55" i="29" s="1"/>
  <c r="C56" i="29" s="1"/>
  <c r="C57" i="29" s="1"/>
  <c r="C58" i="29" s="1"/>
  <c r="C59" i="29" s="1"/>
  <c r="C60" i="29" s="1"/>
  <c r="C61" i="29" s="1"/>
  <c r="C62" i="29" s="1"/>
  <c r="C63" i="29" s="1"/>
  <c r="C64" i="29" s="1"/>
  <c r="C65" i="29" s="1"/>
  <c r="C66" i="29" s="1"/>
  <c r="C67" i="29" s="1"/>
  <c r="C68" i="29" s="1"/>
  <c r="C69" i="29" s="1"/>
  <c r="C70" i="29" s="1"/>
  <c r="C71" i="29" s="1"/>
  <c r="C72" i="29" s="1"/>
  <c r="C73" i="29" s="1"/>
  <c r="N6" i="29"/>
  <c r="C46" i="31"/>
  <c r="C47" i="31" s="1"/>
  <c r="C48" i="31" s="1"/>
  <c r="C49" i="31" s="1"/>
  <c r="C50" i="31" s="1"/>
  <c r="C51" i="31" s="1"/>
  <c r="C52" i="31" s="1"/>
  <c r="C53" i="31" s="1"/>
  <c r="C54" i="31" s="1"/>
  <c r="C55" i="31" s="1"/>
  <c r="C56" i="31" s="1"/>
  <c r="C57" i="31" s="1"/>
  <c r="C58" i="31" s="1"/>
  <c r="C59" i="31" s="1"/>
  <c r="C60" i="31" s="1"/>
  <c r="C61" i="31" s="1"/>
  <c r="C62" i="31" s="1"/>
  <c r="C63" i="31" s="1"/>
  <c r="C64" i="31" s="1"/>
  <c r="C65" i="31" s="1"/>
  <c r="C66" i="31" s="1"/>
  <c r="C67" i="31" s="1"/>
  <c r="C68" i="31" s="1"/>
  <c r="C69" i="31" s="1"/>
  <c r="C70" i="31" s="1"/>
  <c r="C71" i="31" s="1"/>
  <c r="C72" i="31" s="1"/>
  <c r="C73" i="31" s="1"/>
  <c r="N6" i="31"/>
  <c r="N5" i="31"/>
  <c r="C46" i="26"/>
  <c r="C47" i="26" s="1"/>
  <c r="C48" i="26" s="1"/>
  <c r="C49" i="26" s="1"/>
  <c r="C50" i="26" s="1"/>
  <c r="C51" i="26" s="1"/>
  <c r="C52" i="26" s="1"/>
  <c r="C53" i="26" s="1"/>
  <c r="C54" i="26" s="1"/>
  <c r="C55" i="26" s="1"/>
  <c r="C56" i="26" s="1"/>
  <c r="C57" i="26" s="1"/>
  <c r="C58" i="26" s="1"/>
  <c r="C59" i="26" s="1"/>
  <c r="C60" i="26" s="1"/>
  <c r="C61" i="26" s="1"/>
  <c r="C62" i="26" s="1"/>
  <c r="C63" i="26" s="1"/>
  <c r="C64" i="26" s="1"/>
  <c r="C65" i="26" s="1"/>
  <c r="C66" i="26" s="1"/>
  <c r="C67" i="26" s="1"/>
  <c r="C68" i="26" s="1"/>
  <c r="C69" i="26" s="1"/>
  <c r="C70" i="26" s="1"/>
  <c r="C71" i="26" s="1"/>
  <c r="C72" i="26" s="1"/>
  <c r="C73" i="26" s="1"/>
  <c r="N5" i="26"/>
  <c r="N6" i="26"/>
  <c r="C46" i="22"/>
  <c r="C47" i="22" s="1"/>
  <c r="C48" i="22" s="1"/>
  <c r="C49" i="22" s="1"/>
  <c r="C50" i="22" s="1"/>
  <c r="C51" i="22" s="1"/>
  <c r="C52" i="22" s="1"/>
  <c r="C53" i="22" s="1"/>
  <c r="C54" i="22" s="1"/>
  <c r="C55" i="22" s="1"/>
  <c r="C56" i="22" s="1"/>
  <c r="C57" i="22" s="1"/>
  <c r="C58" i="22" s="1"/>
  <c r="C59" i="22" s="1"/>
  <c r="C60" i="22" s="1"/>
  <c r="C61" i="22" s="1"/>
  <c r="C62" i="22" s="1"/>
  <c r="C63" i="22" s="1"/>
  <c r="C64" i="22" s="1"/>
  <c r="C65" i="22" s="1"/>
  <c r="C66" i="22" s="1"/>
  <c r="C67" i="22" s="1"/>
  <c r="C68" i="22" s="1"/>
  <c r="C69" i="22" s="1"/>
  <c r="C70" i="22" s="1"/>
  <c r="C71" i="22" s="1"/>
  <c r="C72" i="22" s="1"/>
  <c r="C73" i="22" s="1"/>
  <c r="N6" i="22"/>
  <c r="N5" i="22"/>
  <c r="C46" i="4"/>
  <c r="C47" i="4" s="1"/>
  <c r="C48"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N5" i="4"/>
  <c r="N6" i="4"/>
  <c r="B21" i="20"/>
  <c r="E23" i="28"/>
  <c r="D23" i="23"/>
  <c r="E23" i="23"/>
  <c r="C46" i="18"/>
  <c r="C47" i="18" s="1"/>
  <c r="C48" i="18" s="1"/>
  <c r="C49" i="18" s="1"/>
  <c r="C50" i="18" s="1"/>
  <c r="C51" i="18" s="1"/>
  <c r="C52" i="18" s="1"/>
  <c r="C53" i="18" s="1"/>
  <c r="C54" i="18" s="1"/>
  <c r="C55" i="18" s="1"/>
  <c r="C56" i="18" s="1"/>
  <c r="C57" i="18" s="1"/>
  <c r="C58" i="18" s="1"/>
  <c r="C59" i="18" s="1"/>
  <c r="C60" i="18" s="1"/>
  <c r="C61" i="18" s="1"/>
  <c r="C62" i="18" s="1"/>
  <c r="C63" i="18" s="1"/>
  <c r="C64" i="18" s="1"/>
  <c r="C65" i="18" s="1"/>
  <c r="C66" i="18" s="1"/>
  <c r="C67" i="18" s="1"/>
  <c r="C68" i="18" s="1"/>
  <c r="C69" i="18" s="1"/>
  <c r="C70" i="18" s="1"/>
  <c r="C71" i="18" s="1"/>
  <c r="C72" i="18" s="1"/>
  <c r="C73" i="18" s="1"/>
  <c r="N5" i="18"/>
  <c r="N6" i="18"/>
  <c r="C46" i="19"/>
  <c r="C47" i="19" s="1"/>
  <c r="C48" i="19" s="1"/>
  <c r="C49" i="19" s="1"/>
  <c r="C50" i="19" s="1"/>
  <c r="C51" i="19" s="1"/>
  <c r="C52" i="19" s="1"/>
  <c r="C53" i="19" s="1"/>
  <c r="C54" i="19" s="1"/>
  <c r="C55" i="19" s="1"/>
  <c r="C56" i="19" s="1"/>
  <c r="C57" i="19" s="1"/>
  <c r="C58" i="19" s="1"/>
  <c r="C59" i="19" s="1"/>
  <c r="C60" i="19" s="1"/>
  <c r="C61" i="19" s="1"/>
  <c r="C62" i="19" s="1"/>
  <c r="C63" i="19" s="1"/>
  <c r="C64" i="19" s="1"/>
  <c r="C65" i="19" s="1"/>
  <c r="C66" i="19" s="1"/>
  <c r="C67" i="19" s="1"/>
  <c r="C68" i="19" s="1"/>
  <c r="C69" i="19" s="1"/>
  <c r="C70" i="19" s="1"/>
  <c r="C71" i="19" s="1"/>
  <c r="C72" i="19" s="1"/>
  <c r="C73" i="19" s="1"/>
  <c r="N5" i="19"/>
  <c r="N6" i="19"/>
  <c r="E109" i="4"/>
  <c r="E108" i="18"/>
  <c r="E102" i="31"/>
  <c r="E104" i="25"/>
  <c r="E100" i="37"/>
  <c r="F100" i="37" s="1"/>
  <c r="E106" i="28"/>
  <c r="E105" i="26"/>
  <c r="E102" i="35"/>
  <c r="J100" i="38"/>
  <c r="B101" i="20"/>
  <c r="F101" i="20"/>
  <c r="F101" i="38"/>
  <c r="H100" i="20"/>
  <c r="I100" i="20"/>
  <c r="D108" i="19"/>
  <c r="E108" i="19"/>
  <c r="G34" i="17"/>
  <c r="C128" i="35"/>
  <c r="C129" i="35" s="1"/>
  <c r="C130" i="35" s="1"/>
  <c r="C131" i="35" s="1"/>
  <c r="C132" i="35" s="1"/>
  <c r="C133" i="35" s="1"/>
  <c r="C134" i="35" s="1"/>
  <c r="C135" i="35" s="1"/>
  <c r="C136" i="35" s="1"/>
  <c r="C137" i="35" s="1"/>
  <c r="C138" i="35" s="1"/>
  <c r="C139" i="35" s="1"/>
  <c r="C140" i="35" s="1"/>
  <c r="C141" i="35" s="1"/>
  <c r="C142" i="35" s="1"/>
  <c r="C143" i="35" s="1"/>
  <c r="C144" i="35" s="1"/>
  <c r="C145" i="35" s="1"/>
  <c r="C146" i="35" s="1"/>
  <c r="C147" i="35" s="1"/>
  <c r="C148" i="35" s="1"/>
  <c r="C149" i="35" s="1"/>
  <c r="C150" i="35" s="1"/>
  <c r="C151" i="35" s="1"/>
  <c r="C152" i="35" s="1"/>
  <c r="C153" i="35" s="1"/>
  <c r="C154" i="35" s="1"/>
  <c r="C155" i="35" s="1"/>
  <c r="D105" i="22"/>
  <c r="E105" i="22"/>
  <c r="E101" i="37" l="1"/>
  <c r="D101" i="37"/>
  <c r="G19" i="37"/>
  <c r="H19" i="37"/>
  <c r="D20" i="37"/>
  <c r="D106" i="23"/>
  <c r="N7" i="3"/>
  <c r="F53" i="1"/>
  <c r="F60" i="1" s="1"/>
  <c r="F63" i="1" s="1"/>
  <c r="F65" i="1" s="1"/>
  <c r="F67" i="1" s="1"/>
  <c r="C46" i="27"/>
  <c r="C47" i="27" s="1"/>
  <c r="C48" i="27" s="1"/>
  <c r="C49" i="27" s="1"/>
  <c r="C50" i="27" s="1"/>
  <c r="C51" i="27" s="1"/>
  <c r="C52" i="27" s="1"/>
  <c r="C53" i="27" s="1"/>
  <c r="C54" i="27" s="1"/>
  <c r="C55" i="27" s="1"/>
  <c r="C56" i="27" s="1"/>
  <c r="C57" i="27" s="1"/>
  <c r="C58" i="27" s="1"/>
  <c r="C59" i="27" s="1"/>
  <c r="C60" i="27" s="1"/>
  <c r="C61" i="27" s="1"/>
  <c r="C62" i="27" s="1"/>
  <c r="C63" i="27" s="1"/>
  <c r="C64" i="27" s="1"/>
  <c r="C65" i="27" s="1"/>
  <c r="C66" i="27" s="1"/>
  <c r="C67" i="27" s="1"/>
  <c r="C68" i="27" s="1"/>
  <c r="C69" i="27" s="1"/>
  <c r="C70" i="27" s="1"/>
  <c r="C71" i="27" s="1"/>
  <c r="C72" i="27" s="1"/>
  <c r="C73" i="27" s="1"/>
  <c r="J104" i="23"/>
  <c r="N6" i="27"/>
  <c r="N7" i="27" s="1"/>
  <c r="C46" i="24"/>
  <c r="C47" i="24" s="1"/>
  <c r="C48" i="24" s="1"/>
  <c r="C49" i="24" s="1"/>
  <c r="C50" i="24" s="1"/>
  <c r="C51" i="24" s="1"/>
  <c r="C52" i="24" s="1"/>
  <c r="C53" i="24" s="1"/>
  <c r="C54" i="24" s="1"/>
  <c r="C55" i="24" s="1"/>
  <c r="C56" i="24" s="1"/>
  <c r="C57" i="24" s="1"/>
  <c r="C58" i="24" s="1"/>
  <c r="C59" i="24" s="1"/>
  <c r="C60" i="24" s="1"/>
  <c r="C61" i="24" s="1"/>
  <c r="C62" i="24" s="1"/>
  <c r="C63" i="24" s="1"/>
  <c r="C64" i="24" s="1"/>
  <c r="C65" i="24" s="1"/>
  <c r="C66" i="24" s="1"/>
  <c r="C67" i="24" s="1"/>
  <c r="C68" i="24" s="1"/>
  <c r="C69" i="24" s="1"/>
  <c r="C70" i="24" s="1"/>
  <c r="C71" i="24" s="1"/>
  <c r="C72" i="24" s="1"/>
  <c r="C73" i="24" s="1"/>
  <c r="N5" i="24"/>
  <c r="N6" i="24"/>
  <c r="N6" i="23"/>
  <c r="N5" i="23"/>
  <c r="C46" i="23"/>
  <c r="C47" i="23" s="1"/>
  <c r="C48" i="23" s="1"/>
  <c r="C49" i="23" s="1"/>
  <c r="C50" i="23" s="1"/>
  <c r="C51" i="23" s="1"/>
  <c r="C52" i="23" s="1"/>
  <c r="C53" i="23" s="1"/>
  <c r="C54" i="23" s="1"/>
  <c r="C55" i="23" s="1"/>
  <c r="C56" i="23" s="1"/>
  <c r="C57" i="23" s="1"/>
  <c r="C58" i="23" s="1"/>
  <c r="C59" i="23" s="1"/>
  <c r="C60" i="23" s="1"/>
  <c r="C61" i="23" s="1"/>
  <c r="C62" i="23" s="1"/>
  <c r="C63" i="23" s="1"/>
  <c r="C64" i="23" s="1"/>
  <c r="C65" i="23" s="1"/>
  <c r="C66" i="23" s="1"/>
  <c r="C67" i="23" s="1"/>
  <c r="C68" i="23" s="1"/>
  <c r="C69" i="23" s="1"/>
  <c r="C70" i="23" s="1"/>
  <c r="C71" i="23" s="1"/>
  <c r="C72" i="23" s="1"/>
  <c r="C73" i="23" s="1"/>
  <c r="E24" i="24"/>
  <c r="G105" i="23"/>
  <c r="H105" i="23" s="1"/>
  <c r="E101" i="13"/>
  <c r="F101" i="13" s="1"/>
  <c r="B101" i="13"/>
  <c r="H100" i="13"/>
  <c r="I100" i="13"/>
  <c r="I19" i="20"/>
  <c r="G20" i="20"/>
  <c r="I20" i="20" s="1"/>
  <c r="E21" i="20"/>
  <c r="F21" i="20" s="1"/>
  <c r="N7" i="31"/>
  <c r="N7" i="4"/>
  <c r="D20" i="13"/>
  <c r="E20" i="13" s="1"/>
  <c r="F20" i="13" s="1"/>
  <c r="D21" i="13" s="1"/>
  <c r="H19" i="13"/>
  <c r="G19" i="13"/>
  <c r="I18" i="13"/>
  <c r="N6" i="13"/>
  <c r="N7" i="13" s="1"/>
  <c r="F73" i="1"/>
  <c r="F74" i="1" s="1"/>
  <c r="N7" i="18"/>
  <c r="B23" i="23"/>
  <c r="F23" i="23"/>
  <c r="G23" i="23" s="1"/>
  <c r="F23" i="28"/>
  <c r="D24" i="28" s="1"/>
  <c r="N7" i="22"/>
  <c r="N7" i="21"/>
  <c r="I22" i="23"/>
  <c r="N7" i="19"/>
  <c r="N7" i="26"/>
  <c r="D27" i="3"/>
  <c r="E27" i="3"/>
  <c r="N7" i="29"/>
  <c r="D108" i="18"/>
  <c r="D109" i="4"/>
  <c r="D105" i="26"/>
  <c r="J100" i="20"/>
  <c r="D106" i="28"/>
  <c r="D102" i="31"/>
  <c r="G100" i="37"/>
  <c r="D102" i="35"/>
  <c r="D104" i="25"/>
  <c r="B104" i="25" s="1"/>
  <c r="D106" i="24"/>
  <c r="E106" i="24"/>
  <c r="B108" i="19"/>
  <c r="F108" i="19"/>
  <c r="G101" i="20"/>
  <c r="D102" i="20"/>
  <c r="B102" i="20" s="1"/>
  <c r="G101" i="38"/>
  <c r="D102" i="38"/>
  <c r="E102" i="38" s="1"/>
  <c r="D102" i="34"/>
  <c r="E102" i="34"/>
  <c r="D103" i="29"/>
  <c r="E103" i="29"/>
  <c r="D106" i="21"/>
  <c r="E106" i="21"/>
  <c r="D106" i="27"/>
  <c r="E106" i="27"/>
  <c r="B105" i="22"/>
  <c r="F105" i="22"/>
  <c r="B109" i="3"/>
  <c r="F106" i="23"/>
  <c r="F28" i="17"/>
  <c r="F23" i="17"/>
  <c r="F20" i="17"/>
  <c r="F32" i="17"/>
  <c r="F31" i="17"/>
  <c r="F19" i="17"/>
  <c r="F21" i="17"/>
  <c r="F29" i="17"/>
  <c r="F24" i="17"/>
  <c r="F18" i="17"/>
  <c r="F101" i="37" l="1"/>
  <c r="D102" i="37" s="1"/>
  <c r="F20" i="37"/>
  <c r="H20" i="37" s="1"/>
  <c r="N20" i="37" s="1"/>
  <c r="O20" i="37" s="1"/>
  <c r="G20" i="37"/>
  <c r="G18" i="17"/>
  <c r="I105" i="23"/>
  <c r="J105" i="23" s="1"/>
  <c r="N7" i="23"/>
  <c r="D24" i="24"/>
  <c r="F24" i="24" s="1"/>
  <c r="N7" i="24"/>
  <c r="D102" i="13"/>
  <c r="G101" i="13"/>
  <c r="J100" i="13"/>
  <c r="H23" i="23"/>
  <c r="I23" i="23" s="1"/>
  <c r="E21" i="13"/>
  <c r="F21" i="13" s="1"/>
  <c r="B21" i="13"/>
  <c r="G29" i="17"/>
  <c r="G19" i="17"/>
  <c r="G32" i="17"/>
  <c r="I19" i="13"/>
  <c r="B20" i="13"/>
  <c r="H20" i="13"/>
  <c r="G20" i="13"/>
  <c r="G24" i="17"/>
  <c r="G23" i="17"/>
  <c r="G20" i="17"/>
  <c r="G31" i="17"/>
  <c r="G21" i="17"/>
  <c r="G28" i="17"/>
  <c r="D20" i="34"/>
  <c r="E20" i="34"/>
  <c r="D23" i="26"/>
  <c r="E23" i="26"/>
  <c r="D20" i="35"/>
  <c r="E20" i="35"/>
  <c r="D24" i="27"/>
  <c r="E24" i="27"/>
  <c r="D21" i="29"/>
  <c r="E21" i="29"/>
  <c r="D20" i="31"/>
  <c r="E20" i="31"/>
  <c r="E24" i="28"/>
  <c r="G23" i="28"/>
  <c r="N5" i="28" s="1"/>
  <c r="H23" i="28"/>
  <c r="N6" i="28" s="1"/>
  <c r="N7" i="28" s="1"/>
  <c r="D24" i="21"/>
  <c r="E24" i="21"/>
  <c r="D27" i="4"/>
  <c r="E27" i="4"/>
  <c r="I26" i="3"/>
  <c r="D18" i="38"/>
  <c r="E18" i="38"/>
  <c r="D26" i="18"/>
  <c r="E26" i="18"/>
  <c r="B27" i="3"/>
  <c r="F27" i="3"/>
  <c r="B22" i="20"/>
  <c r="G21" i="20"/>
  <c r="H21" i="20"/>
  <c r="E22" i="20"/>
  <c r="D22" i="25"/>
  <c r="E22" i="25"/>
  <c r="F68" i="1"/>
  <c r="F69" i="1" s="1"/>
  <c r="F54" i="1" s="1"/>
  <c r="F55" i="1" s="1"/>
  <c r="F57" i="1" s="1"/>
  <c r="F76" i="1" s="1"/>
  <c r="F77" i="1" s="1"/>
  <c r="F79" i="1" s="1"/>
  <c r="D26" i="19"/>
  <c r="E26" i="19"/>
  <c r="D23" i="22"/>
  <c r="E23" i="22"/>
  <c r="D24" i="23"/>
  <c r="E24" i="23"/>
  <c r="B108" i="18"/>
  <c r="F108" i="18"/>
  <c r="E102" i="20"/>
  <c r="F102" i="20" s="1"/>
  <c r="G102" i="20" s="1"/>
  <c r="F104" i="25"/>
  <c r="D105" i="25" s="1"/>
  <c r="F109" i="4"/>
  <c r="B109" i="4"/>
  <c r="B101" i="37"/>
  <c r="H100" i="37"/>
  <c r="L100" i="37" s="1"/>
  <c r="M100" i="37" s="1"/>
  <c r="I100" i="37"/>
  <c r="N100" i="37" s="1"/>
  <c r="O100" i="37" s="1"/>
  <c r="B102" i="31"/>
  <c r="F102" i="31"/>
  <c r="B102" i="35"/>
  <c r="F102" i="35"/>
  <c r="B106" i="28"/>
  <c r="F106" i="28"/>
  <c r="B105" i="26"/>
  <c r="F105" i="26"/>
  <c r="I101" i="20"/>
  <c r="H101" i="20"/>
  <c r="G108" i="19"/>
  <c r="D109" i="19"/>
  <c r="E109" i="19"/>
  <c r="B106" i="27"/>
  <c r="F106" i="27"/>
  <c r="J107" i="19"/>
  <c r="F103" i="29"/>
  <c r="B102" i="38"/>
  <c r="F102" i="38"/>
  <c r="H101" i="38"/>
  <c r="I101" i="38"/>
  <c r="F106" i="21"/>
  <c r="B106" i="21"/>
  <c r="F102" i="34"/>
  <c r="B102" i="34"/>
  <c r="B106" i="24"/>
  <c r="F106" i="24"/>
  <c r="J108" i="3"/>
  <c r="D110" i="3"/>
  <c r="E110" i="3"/>
  <c r="D106" i="22"/>
  <c r="G105" i="22"/>
  <c r="E106" i="22"/>
  <c r="D107" i="23"/>
  <c r="G106" i="23"/>
  <c r="E107" i="23"/>
  <c r="J104" i="22"/>
  <c r="F27" i="17"/>
  <c r="F30" i="17"/>
  <c r="F25" i="17"/>
  <c r="G101" i="37" l="1"/>
  <c r="E102" i="37"/>
  <c r="F102" i="37" s="1"/>
  <c r="G102" i="37" s="1"/>
  <c r="H101" i="37"/>
  <c r="I101" i="37"/>
  <c r="P100" i="37"/>
  <c r="G30" i="17"/>
  <c r="G25" i="17"/>
  <c r="D103" i="20"/>
  <c r="E103" i="20" s="1"/>
  <c r="G27" i="17"/>
  <c r="D25" i="24"/>
  <c r="E25" i="24"/>
  <c r="B24" i="24"/>
  <c r="G24" i="24"/>
  <c r="H24" i="24"/>
  <c r="I23" i="24"/>
  <c r="E105" i="25"/>
  <c r="F105" i="25" s="1"/>
  <c r="I101" i="13"/>
  <c r="H101" i="13"/>
  <c r="E102" i="13"/>
  <c r="F102" i="13" s="1"/>
  <c r="B102" i="13"/>
  <c r="H21" i="13"/>
  <c r="D22" i="13"/>
  <c r="E22" i="13" s="1"/>
  <c r="F22" i="13" s="1"/>
  <c r="G21" i="13"/>
  <c r="I20" i="13"/>
  <c r="B20" i="35"/>
  <c r="F20" i="35"/>
  <c r="G20" i="35" s="1"/>
  <c r="G104" i="25"/>
  <c r="H104" i="25" s="1"/>
  <c r="B19" i="37"/>
  <c r="I25" i="19"/>
  <c r="D28" i="3"/>
  <c r="E28" i="3"/>
  <c r="F24" i="21"/>
  <c r="G24" i="21" s="1"/>
  <c r="B24" i="21"/>
  <c r="I19" i="31"/>
  <c r="I23" i="27"/>
  <c r="C42" i="25"/>
  <c r="C43" i="25" s="1"/>
  <c r="C44" i="25" s="1"/>
  <c r="C45" i="25" s="1"/>
  <c r="F22" i="25"/>
  <c r="B22" i="25"/>
  <c r="H27" i="3"/>
  <c r="I22" i="26"/>
  <c r="I22" i="22"/>
  <c r="B26" i="19"/>
  <c r="F26" i="19"/>
  <c r="G26" i="19" s="1"/>
  <c r="F22" i="20"/>
  <c r="G27" i="3"/>
  <c r="B18" i="38"/>
  <c r="F18" i="38"/>
  <c r="H18" i="38" s="1"/>
  <c r="N6" i="38" s="1"/>
  <c r="F27" i="4"/>
  <c r="H27" i="4" s="1"/>
  <c r="B27" i="4"/>
  <c r="I23" i="28"/>
  <c r="B24" i="27"/>
  <c r="F24" i="27"/>
  <c r="B26" i="18"/>
  <c r="F26" i="18"/>
  <c r="H26" i="18" s="1"/>
  <c r="I23" i="21"/>
  <c r="F23" i="22"/>
  <c r="G23" i="22" s="1"/>
  <c r="B23" i="22"/>
  <c r="I21" i="20"/>
  <c r="I26" i="4"/>
  <c r="B23" i="26"/>
  <c r="F23" i="26"/>
  <c r="G23" i="26" s="1"/>
  <c r="B20" i="34"/>
  <c r="F20" i="34"/>
  <c r="G20" i="34" s="1"/>
  <c r="B24" i="23"/>
  <c r="F24" i="23"/>
  <c r="H24" i="23" s="1"/>
  <c r="I17" i="38"/>
  <c r="F24" i="28"/>
  <c r="G24" i="28" s="1"/>
  <c r="B24" i="28"/>
  <c r="I20" i="29"/>
  <c r="I19" i="34"/>
  <c r="I19" i="35"/>
  <c r="F21" i="29"/>
  <c r="H21" i="29" s="1"/>
  <c r="F20" i="31"/>
  <c r="H20" i="31" s="1"/>
  <c r="B20" i="31"/>
  <c r="I18" i="37"/>
  <c r="I21" i="25"/>
  <c r="I25" i="18"/>
  <c r="G109" i="4"/>
  <c r="D110" i="4"/>
  <c r="E110" i="4"/>
  <c r="J108" i="4"/>
  <c r="G108" i="18"/>
  <c r="E109" i="18"/>
  <c r="D109" i="18"/>
  <c r="J107" i="18"/>
  <c r="J101" i="35"/>
  <c r="J100" i="37"/>
  <c r="J103" i="25"/>
  <c r="G105" i="26"/>
  <c r="D106" i="26"/>
  <c r="E106" i="26"/>
  <c r="D107" i="28"/>
  <c r="G106" i="28"/>
  <c r="E107" i="28"/>
  <c r="J104" i="26"/>
  <c r="J105" i="28"/>
  <c r="E103" i="35"/>
  <c r="D103" i="35"/>
  <c r="G102" i="35"/>
  <c r="G102" i="31"/>
  <c r="D103" i="31"/>
  <c r="E103" i="31"/>
  <c r="B105" i="25"/>
  <c r="J105" i="27"/>
  <c r="G102" i="34"/>
  <c r="D103" i="34"/>
  <c r="E103" i="34"/>
  <c r="I108" i="19"/>
  <c r="H108" i="19"/>
  <c r="G103" i="29"/>
  <c r="D104" i="29"/>
  <c r="E104" i="29"/>
  <c r="J105" i="21"/>
  <c r="J102" i="29"/>
  <c r="D107" i="27"/>
  <c r="G106" i="27"/>
  <c r="E107" i="27"/>
  <c r="J101" i="20"/>
  <c r="J105" i="24"/>
  <c r="D107" i="24"/>
  <c r="G106" i="24"/>
  <c r="E107" i="24"/>
  <c r="J101" i="38"/>
  <c r="G102" i="38"/>
  <c r="D103" i="38"/>
  <c r="J101" i="34"/>
  <c r="D107" i="21"/>
  <c r="G106" i="21"/>
  <c r="E107" i="21"/>
  <c r="F109" i="19"/>
  <c r="B109" i="19"/>
  <c r="H105" i="22"/>
  <c r="I105" i="22"/>
  <c r="B110" i="3"/>
  <c r="F110" i="3"/>
  <c r="B106" i="22"/>
  <c r="F106" i="22"/>
  <c r="H102" i="20"/>
  <c r="I102" i="20"/>
  <c r="B103" i="20"/>
  <c r="H106" i="23"/>
  <c r="I106" i="23"/>
  <c r="F107" i="23"/>
  <c r="F103" i="20" l="1"/>
  <c r="H102" i="37"/>
  <c r="I102" i="37"/>
  <c r="I24" i="24"/>
  <c r="B22" i="13"/>
  <c r="I21" i="13"/>
  <c r="H24" i="28"/>
  <c r="I24" i="28" s="1"/>
  <c r="F25" i="24"/>
  <c r="H25" i="24" s="1"/>
  <c r="B25" i="24"/>
  <c r="I104" i="25"/>
  <c r="J104" i="25" s="1"/>
  <c r="G102" i="13"/>
  <c r="D103" i="13"/>
  <c r="B103" i="13" s="1"/>
  <c r="J101" i="13"/>
  <c r="H20" i="34"/>
  <c r="I20" i="34" s="1"/>
  <c r="H23" i="22"/>
  <c r="I23" i="22" s="1"/>
  <c r="G20" i="31"/>
  <c r="I20" i="31" s="1"/>
  <c r="H24" i="21"/>
  <c r="I24" i="21" s="1"/>
  <c r="G27" i="4"/>
  <c r="I27" i="4" s="1"/>
  <c r="G26" i="18"/>
  <c r="I26" i="18" s="1"/>
  <c r="I19" i="37"/>
  <c r="H26" i="19"/>
  <c r="I26" i="19" s="1"/>
  <c r="G24" i="23"/>
  <c r="I24" i="23" s="1"/>
  <c r="H20" i="35"/>
  <c r="I20" i="35" s="1"/>
  <c r="D23" i="13"/>
  <c r="E23" i="13" s="1"/>
  <c r="G22" i="13"/>
  <c r="H22" i="13"/>
  <c r="G18" i="38"/>
  <c r="D21" i="31"/>
  <c r="E21" i="31"/>
  <c r="D21" i="35"/>
  <c r="E21" i="35"/>
  <c r="D23" i="25"/>
  <c r="E23" i="25"/>
  <c r="D25" i="28"/>
  <c r="E25" i="28" s="1"/>
  <c r="D25" i="23"/>
  <c r="E25" i="23"/>
  <c r="I27" i="3"/>
  <c r="D25" i="27"/>
  <c r="E25" i="27"/>
  <c r="G22" i="25"/>
  <c r="D22" i="29"/>
  <c r="E22" i="29"/>
  <c r="D24" i="26"/>
  <c r="E24" i="26"/>
  <c r="G22" i="20"/>
  <c r="H22" i="20"/>
  <c r="E23" i="20"/>
  <c r="B23" i="20"/>
  <c r="B28" i="3"/>
  <c r="F28" i="3"/>
  <c r="G28" i="3" s="1"/>
  <c r="G24" i="27"/>
  <c r="G21" i="29"/>
  <c r="I21" i="29" s="1"/>
  <c r="D27" i="18"/>
  <c r="E27" i="18"/>
  <c r="H24" i="27"/>
  <c r="D28" i="4"/>
  <c r="E28" i="4"/>
  <c r="H22" i="25"/>
  <c r="D25" i="21"/>
  <c r="E25" i="21"/>
  <c r="D21" i="34"/>
  <c r="E21" i="34"/>
  <c r="H23" i="26"/>
  <c r="D24" i="22"/>
  <c r="E24" i="22"/>
  <c r="D19" i="38"/>
  <c r="E19" i="38"/>
  <c r="D27" i="19"/>
  <c r="E27" i="19"/>
  <c r="N5" i="25"/>
  <c r="C46" i="25"/>
  <c r="C47" i="25" s="1"/>
  <c r="C48" i="25" s="1"/>
  <c r="C49" i="25" s="1"/>
  <c r="C50" i="25" s="1"/>
  <c r="C51" i="25" s="1"/>
  <c r="C52" i="25" s="1"/>
  <c r="C53" i="25" s="1"/>
  <c r="C54" i="25" s="1"/>
  <c r="C55" i="25" s="1"/>
  <c r="C56" i="25" s="1"/>
  <c r="C57" i="25" s="1"/>
  <c r="C58" i="25" s="1"/>
  <c r="C59" i="25" s="1"/>
  <c r="C60" i="25" s="1"/>
  <c r="C61" i="25" s="1"/>
  <c r="C62" i="25" s="1"/>
  <c r="C63" i="25" s="1"/>
  <c r="C64" i="25" s="1"/>
  <c r="C65" i="25" s="1"/>
  <c r="C66" i="25" s="1"/>
  <c r="C67" i="25" s="1"/>
  <c r="C68" i="25" s="1"/>
  <c r="C69" i="25" s="1"/>
  <c r="C70" i="25" s="1"/>
  <c r="C71" i="25" s="1"/>
  <c r="C72" i="25" s="1"/>
  <c r="C73" i="25" s="1"/>
  <c r="N6" i="25"/>
  <c r="I108" i="18"/>
  <c r="H108" i="18"/>
  <c r="B110" i="4"/>
  <c r="F110" i="4"/>
  <c r="H109" i="4"/>
  <c r="I109" i="4"/>
  <c r="F109" i="18"/>
  <c r="B109" i="18"/>
  <c r="F104" i="29"/>
  <c r="D105" i="29" s="1"/>
  <c r="I102" i="35"/>
  <c r="H102" i="35"/>
  <c r="F103" i="35"/>
  <c r="B103" i="35"/>
  <c r="B107" i="28"/>
  <c r="F107" i="28"/>
  <c r="I105" i="26"/>
  <c r="H105" i="26"/>
  <c r="I102" i="31"/>
  <c r="H102" i="31"/>
  <c r="H106" i="28"/>
  <c r="I106" i="28"/>
  <c r="D106" i="25"/>
  <c r="E106" i="25"/>
  <c r="G105" i="25"/>
  <c r="P101" i="37"/>
  <c r="B106" i="26"/>
  <c r="F106" i="26"/>
  <c r="B102" i="37"/>
  <c r="F103" i="31"/>
  <c r="B103" i="31"/>
  <c r="I106" i="27"/>
  <c r="H106" i="27"/>
  <c r="H103" i="29"/>
  <c r="I103" i="29"/>
  <c r="B103" i="34"/>
  <c r="F103" i="34"/>
  <c r="F107" i="27"/>
  <c r="B107" i="27"/>
  <c r="H102" i="34"/>
  <c r="I102" i="34"/>
  <c r="H102" i="38"/>
  <c r="I102" i="38"/>
  <c r="B103" i="38"/>
  <c r="H106" i="21"/>
  <c r="I106" i="21"/>
  <c r="F107" i="21"/>
  <c r="B107" i="21"/>
  <c r="H106" i="24"/>
  <c r="I106" i="24"/>
  <c r="F107" i="24"/>
  <c r="B107" i="24"/>
  <c r="D110" i="19"/>
  <c r="G109" i="19"/>
  <c r="E110" i="19"/>
  <c r="E103" i="38"/>
  <c r="F103" i="38" s="1"/>
  <c r="J108" i="19"/>
  <c r="J105" i="22"/>
  <c r="J109" i="3"/>
  <c r="J102" i="20"/>
  <c r="J106" i="23"/>
  <c r="G106" i="22"/>
  <c r="D107" i="22"/>
  <c r="E107" i="22"/>
  <c r="D104" i="20"/>
  <c r="G103" i="20"/>
  <c r="G107" i="23"/>
  <c r="D108" i="23"/>
  <c r="E108" i="23"/>
  <c r="G110" i="3"/>
  <c r="D111" i="3"/>
  <c r="E111" i="3"/>
  <c r="I18" i="38" l="1"/>
  <c r="N5" i="38"/>
  <c r="N7" i="38" s="1"/>
  <c r="E103" i="13"/>
  <c r="F103" i="13" s="1"/>
  <c r="D104" i="13" s="1"/>
  <c r="G25" i="24"/>
  <c r="I25" i="24" s="1"/>
  <c r="E26" i="24"/>
  <c r="D26" i="24"/>
  <c r="J101" i="37"/>
  <c r="G103" i="13"/>
  <c r="H102" i="13"/>
  <c r="I102" i="13"/>
  <c r="N7" i="25"/>
  <c r="I23" i="26"/>
  <c r="B21" i="34"/>
  <c r="F21" i="34"/>
  <c r="H21" i="34" s="1"/>
  <c r="B20" i="37"/>
  <c r="B27" i="18"/>
  <c r="F27" i="18"/>
  <c r="G27" i="18" s="1"/>
  <c r="J108" i="18"/>
  <c r="B27" i="19"/>
  <c r="F27" i="19"/>
  <c r="H27" i="19" s="1"/>
  <c r="F23" i="20"/>
  <c r="B24" i="26"/>
  <c r="F24" i="26"/>
  <c r="H24" i="26" s="1"/>
  <c r="J109" i="4"/>
  <c r="B25" i="21"/>
  <c r="F25" i="21"/>
  <c r="H25" i="21" s="1"/>
  <c r="I22" i="20"/>
  <c r="I22" i="13"/>
  <c r="B24" i="22"/>
  <c r="F24" i="22"/>
  <c r="G24" i="22" s="1"/>
  <c r="B28" i="4"/>
  <c r="F28" i="4"/>
  <c r="H28" i="4" s="1"/>
  <c r="B25" i="23"/>
  <c r="F25" i="23"/>
  <c r="H25" i="23" s="1"/>
  <c r="I24" i="27"/>
  <c r="B19" i="38"/>
  <c r="F19" i="38"/>
  <c r="H19" i="38" s="1"/>
  <c r="I22" i="25"/>
  <c r="D29" i="3"/>
  <c r="E29" i="3"/>
  <c r="F23" i="25"/>
  <c r="H23" i="25" s="1"/>
  <c r="B23" i="25"/>
  <c r="H28" i="3"/>
  <c r="B25" i="27"/>
  <c r="F25" i="27"/>
  <c r="H25" i="27" s="1"/>
  <c r="B21" i="31"/>
  <c r="F21" i="31"/>
  <c r="G21" i="31" s="1"/>
  <c r="F23" i="13"/>
  <c r="H23" i="13" s="1"/>
  <c r="B23" i="13"/>
  <c r="F22" i="29"/>
  <c r="G22" i="29" s="1"/>
  <c r="B25" i="28"/>
  <c r="F25" i="28"/>
  <c r="H25" i="28" s="1"/>
  <c r="B21" i="35"/>
  <c r="F21" i="35"/>
  <c r="H21" i="35" s="1"/>
  <c r="E111" i="4"/>
  <c r="G110" i="4"/>
  <c r="D111" i="4"/>
  <c r="G109" i="18"/>
  <c r="E110" i="18"/>
  <c r="D110" i="18"/>
  <c r="G103" i="31"/>
  <c r="D104" i="31"/>
  <c r="E104" i="31"/>
  <c r="E103" i="37"/>
  <c r="D103" i="37"/>
  <c r="J102" i="31"/>
  <c r="G107" i="28"/>
  <c r="E108" i="28"/>
  <c r="D108" i="28"/>
  <c r="J105" i="26"/>
  <c r="E105" i="29"/>
  <c r="G104" i="29"/>
  <c r="I104" i="29" s="1"/>
  <c r="E107" i="26"/>
  <c r="G106" i="26"/>
  <c r="D107" i="26"/>
  <c r="B106" i="25"/>
  <c r="F106" i="25"/>
  <c r="H105" i="25"/>
  <c r="I105" i="25"/>
  <c r="G103" i="35"/>
  <c r="D104" i="35"/>
  <c r="E104" i="35"/>
  <c r="J106" i="28"/>
  <c r="J102" i="35"/>
  <c r="G107" i="21"/>
  <c r="D108" i="21"/>
  <c r="E108" i="21"/>
  <c r="J102" i="38"/>
  <c r="J106" i="27"/>
  <c r="F108" i="23"/>
  <c r="G108" i="23" s="1"/>
  <c r="J106" i="24"/>
  <c r="H104" i="29"/>
  <c r="H109" i="19"/>
  <c r="I109" i="19"/>
  <c r="F105" i="29"/>
  <c r="J102" i="34"/>
  <c r="B110" i="19"/>
  <c r="F110" i="19"/>
  <c r="D108" i="24"/>
  <c r="G107" i="24"/>
  <c r="E108" i="24"/>
  <c r="J106" i="21"/>
  <c r="G103" i="34"/>
  <c r="D104" i="34"/>
  <c r="E104" i="34"/>
  <c r="D104" i="38"/>
  <c r="E104" i="38" s="1"/>
  <c r="G103" i="38"/>
  <c r="G107" i="27"/>
  <c r="D108" i="27"/>
  <c r="E108" i="27"/>
  <c r="J103" i="29"/>
  <c r="H103" i="20"/>
  <c r="I103" i="20"/>
  <c r="B104" i="20"/>
  <c r="E104" i="20"/>
  <c r="F104" i="20" s="1"/>
  <c r="B111" i="3"/>
  <c r="F111" i="3"/>
  <c r="F107" i="22"/>
  <c r="B107" i="22"/>
  <c r="H110" i="3"/>
  <c r="I110" i="3"/>
  <c r="I107" i="23"/>
  <c r="H107" i="23"/>
  <c r="H106" i="22"/>
  <c r="I106" i="22"/>
  <c r="F26" i="17"/>
  <c r="G21" i="34" l="1"/>
  <c r="F26" i="24"/>
  <c r="H26" i="24" s="1"/>
  <c r="B26" i="24"/>
  <c r="B104" i="13"/>
  <c r="I103" i="13"/>
  <c r="H103" i="13"/>
  <c r="J102" i="13"/>
  <c r="E104" i="13"/>
  <c r="F104" i="13" s="1"/>
  <c r="G23" i="25"/>
  <c r="I23" i="25" s="1"/>
  <c r="G26" i="17"/>
  <c r="G25" i="28"/>
  <c r="I25" i="28" s="1"/>
  <c r="G21" i="35"/>
  <c r="I21" i="35" s="1"/>
  <c r="G28" i="4"/>
  <c r="I28" i="4" s="1"/>
  <c r="H24" i="22"/>
  <c r="I24" i="22" s="1"/>
  <c r="H22" i="29"/>
  <c r="I22" i="29" s="1"/>
  <c r="H21" i="31"/>
  <c r="I21" i="31" s="1"/>
  <c r="E109" i="23"/>
  <c r="G19" i="38"/>
  <c r="I19" i="38" s="1"/>
  <c r="D109" i="23"/>
  <c r="G25" i="23"/>
  <c r="I25" i="23" s="1"/>
  <c r="G24" i="26"/>
  <c r="I24" i="26" s="1"/>
  <c r="G25" i="27"/>
  <c r="I25" i="27" s="1"/>
  <c r="H23" i="20"/>
  <c r="G23" i="20"/>
  <c r="N5" i="20" s="1"/>
  <c r="M19" i="1" s="1"/>
  <c r="E24" i="20"/>
  <c r="B24" i="20"/>
  <c r="D22" i="35"/>
  <c r="E22" i="35"/>
  <c r="D23" i="29"/>
  <c r="E23" i="29"/>
  <c r="G23" i="13"/>
  <c r="I23" i="13" s="1"/>
  <c r="F29" i="3"/>
  <c r="G29" i="3" s="1"/>
  <c r="B29" i="3"/>
  <c r="D29" i="4"/>
  <c r="E29" i="4"/>
  <c r="D26" i="27"/>
  <c r="E26" i="27"/>
  <c r="D25" i="22"/>
  <c r="E25" i="22"/>
  <c r="D28" i="19"/>
  <c r="E28" i="19"/>
  <c r="D28" i="18"/>
  <c r="E28" i="18"/>
  <c r="D21" i="37"/>
  <c r="E21" i="37"/>
  <c r="I21" i="34"/>
  <c r="G25" i="21"/>
  <c r="D25" i="26"/>
  <c r="E25" i="26"/>
  <c r="G27" i="19"/>
  <c r="H27" i="18"/>
  <c r="D22" i="34"/>
  <c r="E22" i="34"/>
  <c r="D24" i="13"/>
  <c r="E24" i="13" s="1"/>
  <c r="D26" i="28"/>
  <c r="E26" i="28"/>
  <c r="D26" i="21"/>
  <c r="E26" i="21"/>
  <c r="D22" i="31"/>
  <c r="E22" i="31"/>
  <c r="I28" i="3"/>
  <c r="D24" i="25"/>
  <c r="E24" i="25"/>
  <c r="D20" i="38"/>
  <c r="E20" i="38"/>
  <c r="E26" i="23"/>
  <c r="D26" i="23"/>
  <c r="I109" i="18"/>
  <c r="H109" i="18"/>
  <c r="F111" i="4"/>
  <c r="B111" i="4"/>
  <c r="F110" i="18"/>
  <c r="B110" i="18"/>
  <c r="I110" i="4"/>
  <c r="H110" i="4"/>
  <c r="G106" i="25"/>
  <c r="D107" i="25"/>
  <c r="E107" i="25"/>
  <c r="F108" i="28"/>
  <c r="B108" i="28"/>
  <c r="B104" i="31"/>
  <c r="F104" i="31"/>
  <c r="I103" i="31"/>
  <c r="H103" i="31"/>
  <c r="B107" i="26"/>
  <c r="F107" i="26"/>
  <c r="H107" i="28"/>
  <c r="I107" i="28"/>
  <c r="I106" i="26"/>
  <c r="H106" i="26"/>
  <c r="B104" i="35"/>
  <c r="F104" i="35"/>
  <c r="B103" i="37"/>
  <c r="F103" i="37"/>
  <c r="I103" i="35"/>
  <c r="H103" i="35"/>
  <c r="J105" i="25"/>
  <c r="I107" i="21"/>
  <c r="H107" i="21"/>
  <c r="F104" i="34"/>
  <c r="B104" i="34"/>
  <c r="F108" i="27"/>
  <c r="B108" i="27"/>
  <c r="H103" i="34"/>
  <c r="I103" i="34"/>
  <c r="G105" i="29"/>
  <c r="D106" i="29"/>
  <c r="E106" i="29"/>
  <c r="H107" i="27"/>
  <c r="I107" i="27"/>
  <c r="H107" i="24"/>
  <c r="I107" i="24"/>
  <c r="H103" i="38"/>
  <c r="I103" i="38"/>
  <c r="B108" i="24"/>
  <c r="F108" i="24"/>
  <c r="J109" i="19"/>
  <c r="F104" i="38"/>
  <c r="B104" i="38"/>
  <c r="D111" i="19"/>
  <c r="G110" i="19"/>
  <c r="E111" i="19"/>
  <c r="J104" i="29"/>
  <c r="B108" i="21"/>
  <c r="F108" i="21"/>
  <c r="D105" i="20"/>
  <c r="G104" i="20"/>
  <c r="H108" i="23"/>
  <c r="I108" i="23"/>
  <c r="J103" i="20"/>
  <c r="J106" i="22"/>
  <c r="J110" i="3"/>
  <c r="J107" i="23"/>
  <c r="D108" i="22"/>
  <c r="G107" i="22"/>
  <c r="E108" i="22"/>
  <c r="D112" i="3"/>
  <c r="E112" i="3"/>
  <c r="G111" i="3"/>
  <c r="G26" i="24" l="1"/>
  <c r="I26" i="24" s="1"/>
  <c r="E27" i="24"/>
  <c r="D27" i="24"/>
  <c r="F109" i="23"/>
  <c r="E110" i="23" s="1"/>
  <c r="G104" i="13"/>
  <c r="D105" i="13"/>
  <c r="J103" i="13"/>
  <c r="B22" i="31"/>
  <c r="F22" i="31"/>
  <c r="H22" i="31" s="1"/>
  <c r="I27" i="18"/>
  <c r="B28" i="18"/>
  <c r="F28" i="18"/>
  <c r="D30" i="3"/>
  <c r="E30" i="3"/>
  <c r="F24" i="20"/>
  <c r="F26" i="27"/>
  <c r="G26" i="27" s="1"/>
  <c r="B26" i="27"/>
  <c r="M20" i="1"/>
  <c r="R128" i="1"/>
  <c r="B26" i="28"/>
  <c r="F26" i="28"/>
  <c r="G26" i="28" s="1"/>
  <c r="F25" i="26"/>
  <c r="G25" i="26" s="1"/>
  <c r="B25" i="26"/>
  <c r="B28" i="19"/>
  <c r="F28" i="19"/>
  <c r="G28" i="19" s="1"/>
  <c r="I23" i="20"/>
  <c r="N6" i="20"/>
  <c r="N19" i="1" s="1"/>
  <c r="B22" i="34"/>
  <c r="F22" i="34"/>
  <c r="I20" i="37"/>
  <c r="F24" i="25"/>
  <c r="G24" i="25" s="1"/>
  <c r="B24" i="25"/>
  <c r="B26" i="21"/>
  <c r="F26" i="21"/>
  <c r="G26" i="21" s="1"/>
  <c r="F23" i="29"/>
  <c r="G23" i="29" s="1"/>
  <c r="F26" i="23"/>
  <c r="H26" i="23" s="1"/>
  <c r="B26" i="23"/>
  <c r="B20" i="38"/>
  <c r="F20" i="38"/>
  <c r="G20" i="38" s="1"/>
  <c r="I27" i="19"/>
  <c r="F24" i="13"/>
  <c r="H24" i="13" s="1"/>
  <c r="B24" i="13"/>
  <c r="B29" i="4"/>
  <c r="F29" i="4"/>
  <c r="G29" i="4" s="1"/>
  <c r="I25" i="21"/>
  <c r="F21" i="37"/>
  <c r="B21" i="37"/>
  <c r="F25" i="22"/>
  <c r="G25" i="22" s="1"/>
  <c r="B25" i="22"/>
  <c r="H29" i="3"/>
  <c r="B22" i="35"/>
  <c r="F22" i="35"/>
  <c r="G22" i="35" s="1"/>
  <c r="J108" i="23"/>
  <c r="J107" i="28"/>
  <c r="D111" i="18"/>
  <c r="E111" i="18"/>
  <c r="G110" i="18"/>
  <c r="E112" i="4"/>
  <c r="D112" i="4"/>
  <c r="G111" i="4"/>
  <c r="J110" i="4"/>
  <c r="J109" i="18"/>
  <c r="E105" i="35"/>
  <c r="D105" i="35"/>
  <c r="G104" i="35"/>
  <c r="H106" i="25"/>
  <c r="I106" i="25"/>
  <c r="J102" i="37"/>
  <c r="J103" i="31"/>
  <c r="E105" i="31"/>
  <c r="D105" i="31"/>
  <c r="G104" i="31"/>
  <c r="J106" i="26"/>
  <c r="J103" i="35"/>
  <c r="G108" i="28"/>
  <c r="D109" i="28"/>
  <c r="E109" i="28"/>
  <c r="G103" i="37"/>
  <c r="D104" i="37"/>
  <c r="E104" i="37"/>
  <c r="E108" i="26"/>
  <c r="G107" i="26"/>
  <c r="D108" i="26"/>
  <c r="B107" i="25"/>
  <c r="F107" i="25"/>
  <c r="F106" i="29"/>
  <c r="E107" i="29" s="1"/>
  <c r="D109" i="21"/>
  <c r="G108" i="21"/>
  <c r="E109" i="21"/>
  <c r="D105" i="38"/>
  <c r="E105" i="38" s="1"/>
  <c r="G104" i="38"/>
  <c r="G104" i="34"/>
  <c r="D105" i="34"/>
  <c r="E105" i="34"/>
  <c r="J107" i="27"/>
  <c r="D109" i="24"/>
  <c r="G108" i="24"/>
  <c r="E109" i="24"/>
  <c r="J103" i="34"/>
  <c r="J103" i="38"/>
  <c r="I105" i="29"/>
  <c r="H105" i="29"/>
  <c r="G108" i="27"/>
  <c r="D109" i="27"/>
  <c r="E109" i="27"/>
  <c r="B111" i="19"/>
  <c r="F111" i="19"/>
  <c r="I110" i="19"/>
  <c r="H110" i="19"/>
  <c r="J107" i="24"/>
  <c r="J107" i="21"/>
  <c r="B108" i="22"/>
  <c r="F108" i="22"/>
  <c r="H104" i="20"/>
  <c r="I104" i="20"/>
  <c r="H111" i="3"/>
  <c r="I111" i="3"/>
  <c r="F112" i="3"/>
  <c r="B112" i="3"/>
  <c r="B105" i="20"/>
  <c r="I107" i="22"/>
  <c r="H107" i="22"/>
  <c r="E105" i="20"/>
  <c r="F105" i="20" s="1"/>
  <c r="D110" i="23" l="1"/>
  <c r="G109" i="23"/>
  <c r="I109" i="23" s="1"/>
  <c r="B27" i="24"/>
  <c r="F27" i="24"/>
  <c r="H27" i="24" s="1"/>
  <c r="F110" i="23"/>
  <c r="D111" i="23" s="1"/>
  <c r="J106" i="25"/>
  <c r="E105" i="13"/>
  <c r="F105" i="13" s="1"/>
  <c r="B105" i="13"/>
  <c r="I104" i="13"/>
  <c r="H104" i="13"/>
  <c r="H25" i="22"/>
  <c r="I25" i="22" s="1"/>
  <c r="H22" i="35"/>
  <c r="I22" i="35" s="1"/>
  <c r="G22" i="31"/>
  <c r="I22" i="31" s="1"/>
  <c r="G26" i="23"/>
  <c r="I26" i="23" s="1"/>
  <c r="H26" i="21"/>
  <c r="I26" i="21" s="1"/>
  <c r="G24" i="13"/>
  <c r="I24" i="13" s="1"/>
  <c r="H23" i="29"/>
  <c r="I23" i="29" s="1"/>
  <c r="H26" i="27"/>
  <c r="I26" i="27" s="1"/>
  <c r="D22" i="37"/>
  <c r="E22" i="37"/>
  <c r="D29" i="18"/>
  <c r="E29" i="18"/>
  <c r="I29" i="3"/>
  <c r="H21" i="37"/>
  <c r="D26" i="26"/>
  <c r="E26" i="26"/>
  <c r="H25" i="26"/>
  <c r="H24" i="20"/>
  <c r="B25" i="20"/>
  <c r="E25" i="20"/>
  <c r="F25" i="20" s="1"/>
  <c r="G24" i="20"/>
  <c r="D26" i="22"/>
  <c r="E26" i="22"/>
  <c r="D25" i="13"/>
  <c r="D23" i="31"/>
  <c r="E23" i="31"/>
  <c r="N7" i="20"/>
  <c r="D30" i="4"/>
  <c r="E30" i="4"/>
  <c r="D27" i="23"/>
  <c r="E27" i="23"/>
  <c r="D27" i="21"/>
  <c r="E27" i="21"/>
  <c r="D23" i="34"/>
  <c r="E23" i="34"/>
  <c r="D29" i="19"/>
  <c r="E29" i="19"/>
  <c r="D27" i="28"/>
  <c r="E27" i="28" s="1"/>
  <c r="B30" i="3"/>
  <c r="F30" i="3"/>
  <c r="H30" i="3" s="1"/>
  <c r="D23" i="35"/>
  <c r="E23" i="35"/>
  <c r="G21" i="37"/>
  <c r="H29" i="4"/>
  <c r="D21" i="38"/>
  <c r="E21" i="38"/>
  <c r="G22" i="34"/>
  <c r="H26" i="28"/>
  <c r="D27" i="27"/>
  <c r="E27" i="27"/>
  <c r="G28" i="18"/>
  <c r="D25" i="25"/>
  <c r="E25" i="25"/>
  <c r="H20" i="38"/>
  <c r="D24" i="29"/>
  <c r="E24" i="29"/>
  <c r="H24" i="25"/>
  <c r="H22" i="34"/>
  <c r="H28" i="19"/>
  <c r="H28" i="18"/>
  <c r="H110" i="18"/>
  <c r="I110" i="18"/>
  <c r="F112" i="4"/>
  <c r="B112" i="4"/>
  <c r="H111" i="4"/>
  <c r="I111" i="4"/>
  <c r="B111" i="18"/>
  <c r="F111" i="18"/>
  <c r="G107" i="25"/>
  <c r="D108" i="25"/>
  <c r="E108" i="25"/>
  <c r="F108" i="26"/>
  <c r="B108" i="26"/>
  <c r="H108" i="28"/>
  <c r="I108" i="28"/>
  <c r="B109" i="28"/>
  <c r="F109" i="28"/>
  <c r="I107" i="26"/>
  <c r="H107" i="26"/>
  <c r="H104" i="35"/>
  <c r="I104" i="35"/>
  <c r="B104" i="37"/>
  <c r="F104" i="37"/>
  <c r="I104" i="31"/>
  <c r="H104" i="31"/>
  <c r="B105" i="35"/>
  <c r="F105" i="35"/>
  <c r="I103" i="37"/>
  <c r="H103" i="37"/>
  <c r="F105" i="31"/>
  <c r="B105" i="31"/>
  <c r="G106" i="29"/>
  <c r="I106" i="29" s="1"/>
  <c r="D107" i="29"/>
  <c r="F107" i="29" s="1"/>
  <c r="E108" i="29" s="1"/>
  <c r="F109" i="24"/>
  <c r="B109" i="24"/>
  <c r="B105" i="38"/>
  <c r="F105" i="38"/>
  <c r="H104" i="34"/>
  <c r="I104" i="34"/>
  <c r="J110" i="19"/>
  <c r="H108" i="24"/>
  <c r="I108" i="24"/>
  <c r="D112" i="19"/>
  <c r="G111" i="19"/>
  <c r="E112" i="19"/>
  <c r="F109" i="27"/>
  <c r="B109" i="27"/>
  <c r="I108" i="21"/>
  <c r="H108" i="21"/>
  <c r="H104" i="38"/>
  <c r="I104" i="38"/>
  <c r="H108" i="27"/>
  <c r="I108" i="27"/>
  <c r="F109" i="21"/>
  <c r="B109" i="21"/>
  <c r="J105" i="29"/>
  <c r="B105" i="34"/>
  <c r="F105" i="34"/>
  <c r="G105" i="20"/>
  <c r="D106" i="20"/>
  <c r="E106" i="20" s="1"/>
  <c r="J104" i="20"/>
  <c r="D113" i="3"/>
  <c r="G112" i="3"/>
  <c r="E113" i="3"/>
  <c r="G108" i="22"/>
  <c r="D109" i="22"/>
  <c r="E109" i="22"/>
  <c r="J107" i="22"/>
  <c r="J111" i="3"/>
  <c r="F22" i="17"/>
  <c r="H109" i="23" l="1"/>
  <c r="J109" i="23" s="1"/>
  <c r="G110" i="23"/>
  <c r="H110" i="23" s="1"/>
  <c r="G27" i="24"/>
  <c r="I27" i="24" s="1"/>
  <c r="D28" i="24"/>
  <c r="E28" i="24"/>
  <c r="E111" i="23"/>
  <c r="F111" i="23" s="1"/>
  <c r="D112" i="23" s="1"/>
  <c r="G30" i="3"/>
  <c r="I30" i="3" s="1"/>
  <c r="H106" i="29"/>
  <c r="J106" i="29" s="1"/>
  <c r="J104" i="31"/>
  <c r="G107" i="29"/>
  <c r="H107" i="29" s="1"/>
  <c r="J104" i="13"/>
  <c r="D106" i="13"/>
  <c r="G105" i="13"/>
  <c r="J110" i="18"/>
  <c r="G22" i="17"/>
  <c r="G38" i="17" s="1"/>
  <c r="F38" i="17"/>
  <c r="B30" i="4"/>
  <c r="F30" i="4"/>
  <c r="H30" i="4" s="1"/>
  <c r="J111" i="4"/>
  <c r="I22" i="34"/>
  <c r="F21" i="38"/>
  <c r="G21" i="38" s="1"/>
  <c r="B21" i="38"/>
  <c r="F23" i="34"/>
  <c r="H23" i="34" s="1"/>
  <c r="B23" i="34"/>
  <c r="I24" i="25"/>
  <c r="I29" i="4"/>
  <c r="B25" i="13"/>
  <c r="B27" i="27"/>
  <c r="F27" i="27"/>
  <c r="H27" i="27" s="1"/>
  <c r="F27" i="21"/>
  <c r="G27" i="21" s="1"/>
  <c r="B27" i="21"/>
  <c r="E25" i="13"/>
  <c r="F25" i="13" s="1"/>
  <c r="F29" i="18"/>
  <c r="B29" i="18"/>
  <c r="F24" i="29"/>
  <c r="G24" i="29" s="1"/>
  <c r="I26" i="28"/>
  <c r="I28" i="19"/>
  <c r="B23" i="31"/>
  <c r="F23" i="31"/>
  <c r="H23" i="31" s="1"/>
  <c r="I20" i="38"/>
  <c r="F23" i="35"/>
  <c r="G23" i="35" s="1"/>
  <c r="B23" i="35"/>
  <c r="F27" i="28"/>
  <c r="B27" i="28"/>
  <c r="F27" i="23"/>
  <c r="G27" i="23" s="1"/>
  <c r="B27" i="23"/>
  <c r="R129" i="1"/>
  <c r="O19" i="1"/>
  <c r="N20" i="1"/>
  <c r="F26" i="22"/>
  <c r="H26" i="22" s="1"/>
  <c r="B26" i="22"/>
  <c r="G25" i="20"/>
  <c r="B26" i="20"/>
  <c r="H25" i="20"/>
  <c r="E26" i="20"/>
  <c r="F26" i="20" s="1"/>
  <c r="B22" i="37"/>
  <c r="F22" i="37"/>
  <c r="H22" i="37" s="1"/>
  <c r="I25" i="26"/>
  <c r="B26" i="26"/>
  <c r="F26" i="26"/>
  <c r="G26" i="26" s="1"/>
  <c r="D108" i="29"/>
  <c r="F108" i="29" s="1"/>
  <c r="I28" i="18"/>
  <c r="F25" i="25"/>
  <c r="G25" i="25" s="1"/>
  <c r="B25" i="25"/>
  <c r="D31" i="3"/>
  <c r="E31" i="3"/>
  <c r="F29" i="19"/>
  <c r="H29" i="19" s="1"/>
  <c r="B29" i="19"/>
  <c r="I24" i="20"/>
  <c r="I21" i="37"/>
  <c r="J108" i="28"/>
  <c r="J104" i="35"/>
  <c r="D112" i="18"/>
  <c r="E112" i="18"/>
  <c r="G111" i="18"/>
  <c r="E113" i="4"/>
  <c r="D113" i="4"/>
  <c r="G112" i="4"/>
  <c r="D105" i="37"/>
  <c r="E105" i="37"/>
  <c r="G104" i="37"/>
  <c r="G105" i="31"/>
  <c r="D106" i="31"/>
  <c r="E106" i="31"/>
  <c r="J103" i="37"/>
  <c r="E109" i="26"/>
  <c r="G108" i="26"/>
  <c r="D109" i="26"/>
  <c r="G105" i="35"/>
  <c r="E106" i="35"/>
  <c r="D106" i="35"/>
  <c r="J107" i="26"/>
  <c r="B108" i="25"/>
  <c r="F108" i="25"/>
  <c r="D110" i="28"/>
  <c r="E110" i="28"/>
  <c r="G109" i="28"/>
  <c r="H107" i="25"/>
  <c r="I107" i="25"/>
  <c r="J108" i="27"/>
  <c r="G109" i="24"/>
  <c r="D110" i="24"/>
  <c r="E110" i="24"/>
  <c r="I111" i="19"/>
  <c r="H111" i="19"/>
  <c r="D106" i="38"/>
  <c r="G105" i="38"/>
  <c r="B112" i="19"/>
  <c r="F112" i="19"/>
  <c r="D106" i="34"/>
  <c r="G105" i="34"/>
  <c r="E106" i="34"/>
  <c r="G109" i="21"/>
  <c r="D110" i="21"/>
  <c r="E110" i="21"/>
  <c r="J108" i="21"/>
  <c r="J104" i="34"/>
  <c r="J104" i="38"/>
  <c r="G109" i="27"/>
  <c r="D110" i="27"/>
  <c r="E110" i="27"/>
  <c r="J108" i="24"/>
  <c r="H108" i="22"/>
  <c r="I108" i="22"/>
  <c r="I112" i="3"/>
  <c r="H112" i="3"/>
  <c r="F109" i="22"/>
  <c r="B109" i="22"/>
  <c r="F113" i="3"/>
  <c r="B113" i="3"/>
  <c r="F106" i="20"/>
  <c r="B106" i="20"/>
  <c r="I105" i="20"/>
  <c r="H105" i="20"/>
  <c r="I110" i="23" l="1"/>
  <c r="J110" i="23" s="1"/>
  <c r="G111" i="23"/>
  <c r="H111" i="23" s="1"/>
  <c r="E112" i="23"/>
  <c r="F112" i="23" s="1"/>
  <c r="G112" i="23" s="1"/>
  <c r="F28" i="24"/>
  <c r="G28" i="24" s="1"/>
  <c r="B28" i="24"/>
  <c r="I107" i="29"/>
  <c r="J107" i="29" s="1"/>
  <c r="J107" i="25"/>
  <c r="I105" i="13"/>
  <c r="H105" i="13"/>
  <c r="E106" i="13"/>
  <c r="F106" i="13" s="1"/>
  <c r="B106" i="13"/>
  <c r="G22" i="37"/>
  <c r="I22" i="37" s="1"/>
  <c r="G23" i="31"/>
  <c r="I23" i="31" s="1"/>
  <c r="H21" i="38"/>
  <c r="I21" i="38" s="1"/>
  <c r="H27" i="23"/>
  <c r="I27" i="23" s="1"/>
  <c r="H23" i="35"/>
  <c r="I23" i="35" s="1"/>
  <c r="G29" i="19"/>
  <c r="I29" i="19" s="1"/>
  <c r="E109" i="29"/>
  <c r="G108" i="29"/>
  <c r="H108" i="29" s="1"/>
  <c r="D109" i="29"/>
  <c r="D28" i="28"/>
  <c r="E28" i="28" s="1"/>
  <c r="D30" i="18"/>
  <c r="E30" i="18"/>
  <c r="I25" i="20"/>
  <c r="R130" i="1"/>
  <c r="O20" i="1"/>
  <c r="H27" i="28"/>
  <c r="D24" i="31"/>
  <c r="E24" i="31"/>
  <c r="G29" i="18"/>
  <c r="D24" i="34"/>
  <c r="E24" i="34"/>
  <c r="D31" i="4"/>
  <c r="E31" i="4"/>
  <c r="D30" i="19"/>
  <c r="E30" i="19"/>
  <c r="G27" i="28"/>
  <c r="H24" i="29"/>
  <c r="D28" i="27"/>
  <c r="E28" i="27"/>
  <c r="D26" i="25"/>
  <c r="E26" i="25"/>
  <c r="F31" i="3"/>
  <c r="B31" i="3"/>
  <c r="D27" i="26"/>
  <c r="E27" i="26"/>
  <c r="G27" i="27"/>
  <c r="I27" i="27" s="1"/>
  <c r="G30" i="4"/>
  <c r="I30" i="4" s="1"/>
  <c r="D27" i="22"/>
  <c r="E27" i="22"/>
  <c r="D26" i="13"/>
  <c r="E26" i="13" s="1"/>
  <c r="E27" i="20"/>
  <c r="F27" i="20" s="1"/>
  <c r="H26" i="20"/>
  <c r="G26" i="20"/>
  <c r="B27" i="20"/>
  <c r="D23" i="37"/>
  <c r="E23" i="37"/>
  <c r="G26" i="22"/>
  <c r="I26" i="22" s="1"/>
  <c r="D28" i="21"/>
  <c r="E28" i="21"/>
  <c r="H25" i="13"/>
  <c r="D22" i="38"/>
  <c r="E22" i="38"/>
  <c r="D25" i="29"/>
  <c r="E25" i="29"/>
  <c r="H25" i="25"/>
  <c r="H26" i="26"/>
  <c r="D28" i="23"/>
  <c r="E28" i="23"/>
  <c r="D24" i="35"/>
  <c r="E24" i="35"/>
  <c r="H29" i="18"/>
  <c r="H27" i="21"/>
  <c r="G25" i="13"/>
  <c r="G23" i="34"/>
  <c r="I23" i="34" s="1"/>
  <c r="F39" i="17"/>
  <c r="F113" i="4"/>
  <c r="B113" i="4"/>
  <c r="H111" i="18"/>
  <c r="I111" i="18"/>
  <c r="I112" i="4"/>
  <c r="H112" i="4"/>
  <c r="B112" i="18"/>
  <c r="F112" i="18"/>
  <c r="G108" i="25"/>
  <c r="E109" i="25"/>
  <c r="D109" i="25"/>
  <c r="F106" i="35"/>
  <c r="B106" i="35"/>
  <c r="B106" i="31"/>
  <c r="F106" i="31"/>
  <c r="I105" i="31"/>
  <c r="H105" i="31"/>
  <c r="I109" i="28"/>
  <c r="H109" i="28"/>
  <c r="I105" i="35"/>
  <c r="H105" i="35"/>
  <c r="H104" i="37"/>
  <c r="I104" i="37"/>
  <c r="F109" i="26"/>
  <c r="B109" i="26"/>
  <c r="F110" i="28"/>
  <c r="B110" i="28"/>
  <c r="I108" i="26"/>
  <c r="H108" i="26"/>
  <c r="F105" i="37"/>
  <c r="B105" i="37"/>
  <c r="B110" i="27"/>
  <c r="F110" i="27"/>
  <c r="G112" i="19"/>
  <c r="D113" i="19"/>
  <c r="E113" i="19"/>
  <c r="I109" i="27"/>
  <c r="H109" i="27"/>
  <c r="J111" i="19"/>
  <c r="H109" i="21"/>
  <c r="I109" i="21"/>
  <c r="H105" i="38"/>
  <c r="I105" i="38"/>
  <c r="H105" i="34"/>
  <c r="I105" i="34"/>
  <c r="B106" i="38"/>
  <c r="F110" i="24"/>
  <c r="B110" i="24"/>
  <c r="F110" i="21"/>
  <c r="B110" i="21"/>
  <c r="B106" i="34"/>
  <c r="F106" i="34"/>
  <c r="E106" i="38"/>
  <c r="F106" i="38" s="1"/>
  <c r="I109" i="24"/>
  <c r="H109" i="24"/>
  <c r="J112" i="3"/>
  <c r="G109" i="22"/>
  <c r="D110" i="22"/>
  <c r="E110" i="22"/>
  <c r="J108" i="22"/>
  <c r="G106" i="20"/>
  <c r="D107" i="20"/>
  <c r="E107" i="20" s="1"/>
  <c r="E114" i="3"/>
  <c r="G113" i="3"/>
  <c r="D114" i="3"/>
  <c r="J105" i="20"/>
  <c r="I111" i="23" l="1"/>
  <c r="E113" i="23"/>
  <c r="J111" i="23"/>
  <c r="D113" i="23"/>
  <c r="H112" i="23"/>
  <c r="I112" i="23"/>
  <c r="H28" i="24"/>
  <c r="I28" i="24" s="1"/>
  <c r="D29" i="24"/>
  <c r="E29" i="24"/>
  <c r="I108" i="29"/>
  <c r="J108" i="29" s="1"/>
  <c r="F109" i="29"/>
  <c r="E110" i="29" s="1"/>
  <c r="J105" i="31"/>
  <c r="G106" i="13"/>
  <c r="D107" i="13"/>
  <c r="J105" i="13"/>
  <c r="I26" i="20"/>
  <c r="I25" i="25"/>
  <c r="B26" i="13"/>
  <c r="F26" i="13"/>
  <c r="G26" i="13" s="1"/>
  <c r="B24" i="34"/>
  <c r="F24" i="34"/>
  <c r="H24" i="34" s="1"/>
  <c r="D32" i="3"/>
  <c r="D33" i="3"/>
  <c r="E32" i="3"/>
  <c r="E33" i="3"/>
  <c r="I27" i="21"/>
  <c r="B23" i="37"/>
  <c r="F23" i="37"/>
  <c r="G23" i="37" s="1"/>
  <c r="B26" i="25"/>
  <c r="F26" i="25"/>
  <c r="G26" i="25" s="1"/>
  <c r="J111" i="18"/>
  <c r="I29" i="18"/>
  <c r="F22" i="38"/>
  <c r="G22" i="38" s="1"/>
  <c r="B22" i="38"/>
  <c r="F27" i="22"/>
  <c r="B27" i="22"/>
  <c r="F27" i="26"/>
  <c r="H27" i="26" s="1"/>
  <c r="B27" i="26"/>
  <c r="B30" i="18"/>
  <c r="F30" i="18"/>
  <c r="G30" i="18" s="1"/>
  <c r="I26" i="26"/>
  <c r="F25" i="29"/>
  <c r="G25" i="29" s="1"/>
  <c r="I25" i="13"/>
  <c r="B30" i="19"/>
  <c r="F30" i="19"/>
  <c r="B24" i="35"/>
  <c r="F24" i="35"/>
  <c r="H24" i="35" s="1"/>
  <c r="H31" i="3"/>
  <c r="B28" i="27"/>
  <c r="F28" i="27"/>
  <c r="H28" i="27" s="1"/>
  <c r="F24" i="31"/>
  <c r="H24" i="31" s="1"/>
  <c r="B24" i="31"/>
  <c r="F28" i="28"/>
  <c r="H28" i="28" s="1"/>
  <c r="B28" i="28"/>
  <c r="B28" i="21"/>
  <c r="F28" i="21"/>
  <c r="H28" i="21" s="1"/>
  <c r="I24" i="29"/>
  <c r="I27" i="28"/>
  <c r="B28" i="23"/>
  <c r="F28" i="23"/>
  <c r="G28" i="23" s="1"/>
  <c r="B28" i="20"/>
  <c r="E28" i="20"/>
  <c r="F28" i="20" s="1"/>
  <c r="G27" i="20"/>
  <c r="H27" i="20"/>
  <c r="G31" i="3"/>
  <c r="F31" i="4"/>
  <c r="G31" i="4" s="1"/>
  <c r="B31" i="4"/>
  <c r="J104" i="37"/>
  <c r="J112" i="4"/>
  <c r="G112" i="18"/>
  <c r="E113" i="18"/>
  <c r="D113" i="18"/>
  <c r="D114" i="4"/>
  <c r="G113" i="4"/>
  <c r="E114" i="4"/>
  <c r="E110" i="26"/>
  <c r="D110" i="26"/>
  <c r="G109" i="26"/>
  <c r="E107" i="31"/>
  <c r="D107" i="31"/>
  <c r="G106" i="31"/>
  <c r="E106" i="37"/>
  <c r="D106" i="37"/>
  <c r="G105" i="37"/>
  <c r="J108" i="26"/>
  <c r="J105" i="35"/>
  <c r="G106" i="35"/>
  <c r="D107" i="35"/>
  <c r="E107" i="35"/>
  <c r="F109" i="25"/>
  <c r="B109" i="25"/>
  <c r="G110" i="28"/>
  <c r="D111" i="28"/>
  <c r="E111" i="28"/>
  <c r="J109" i="28"/>
  <c r="H108" i="25"/>
  <c r="I108" i="25"/>
  <c r="D107" i="38"/>
  <c r="E107" i="38" s="1"/>
  <c r="G106" i="38"/>
  <c r="J105" i="38"/>
  <c r="J109" i="21"/>
  <c r="J105" i="34"/>
  <c r="D107" i="34"/>
  <c r="G106" i="34"/>
  <c r="E107" i="34"/>
  <c r="J109" i="27"/>
  <c r="F113" i="19"/>
  <c r="B113" i="19"/>
  <c r="H112" i="19"/>
  <c r="I112" i="19"/>
  <c r="J109" i="24"/>
  <c r="D111" i="24"/>
  <c r="G110" i="24"/>
  <c r="E111" i="24"/>
  <c r="D111" i="27"/>
  <c r="G110" i="27"/>
  <c r="E111" i="27"/>
  <c r="G110" i="21"/>
  <c r="D111" i="21"/>
  <c r="E111" i="21"/>
  <c r="H109" i="22"/>
  <c r="I109" i="22"/>
  <c r="I106" i="20"/>
  <c r="H106" i="20"/>
  <c r="B114" i="3"/>
  <c r="F114" i="3"/>
  <c r="F110" i="22"/>
  <c r="B110" i="22"/>
  <c r="F107" i="20"/>
  <c r="B107" i="20"/>
  <c r="H113" i="3"/>
  <c r="I113" i="3"/>
  <c r="F113" i="23" l="1"/>
  <c r="D114" i="23" s="1"/>
  <c r="J112" i="23"/>
  <c r="G113" i="23"/>
  <c r="H113" i="23" s="1"/>
  <c r="E114" i="23"/>
  <c r="F114" i="23" s="1"/>
  <c r="E115" i="23" s="1"/>
  <c r="B29" i="24"/>
  <c r="F29" i="24"/>
  <c r="H29" i="24" s="1"/>
  <c r="G109" i="29"/>
  <c r="D110" i="29"/>
  <c r="F110" i="29" s="1"/>
  <c r="G110" i="29" s="1"/>
  <c r="H110" i="29" s="1"/>
  <c r="J113" i="3"/>
  <c r="E107" i="13"/>
  <c r="F107" i="13" s="1"/>
  <c r="B107" i="13"/>
  <c r="I106" i="13"/>
  <c r="H106" i="13"/>
  <c r="G24" i="31"/>
  <c r="I24" i="31" s="1"/>
  <c r="H31" i="4"/>
  <c r="I31" i="4" s="1"/>
  <c r="G28" i="28"/>
  <c r="I28" i="28" s="1"/>
  <c r="G24" i="34"/>
  <c r="I24" i="34" s="1"/>
  <c r="H25" i="29"/>
  <c r="I25" i="29" s="1"/>
  <c r="I27" i="20"/>
  <c r="G24" i="35"/>
  <c r="I24" i="35" s="1"/>
  <c r="H28" i="23"/>
  <c r="I28" i="23" s="1"/>
  <c r="G27" i="26"/>
  <c r="I27" i="26" s="1"/>
  <c r="H26" i="13"/>
  <c r="I26" i="13" s="1"/>
  <c r="D23" i="38"/>
  <c r="E23" i="38"/>
  <c r="D29" i="27"/>
  <c r="E29" i="27"/>
  <c r="D31" i="19"/>
  <c r="E31" i="19"/>
  <c r="D27" i="25"/>
  <c r="E27" i="25"/>
  <c r="D29" i="21"/>
  <c r="E29" i="21"/>
  <c r="G28" i="27"/>
  <c r="I28" i="27" s="1"/>
  <c r="D28" i="26"/>
  <c r="E28" i="26"/>
  <c r="H22" i="38"/>
  <c r="B33" i="3"/>
  <c r="F33" i="3"/>
  <c r="D27" i="13"/>
  <c r="E27" i="13" s="1"/>
  <c r="D32" i="4"/>
  <c r="E32" i="4"/>
  <c r="E33" i="4"/>
  <c r="D29" i="28"/>
  <c r="E29" i="28" s="1"/>
  <c r="H30" i="19"/>
  <c r="D24" i="37"/>
  <c r="E24" i="37"/>
  <c r="F32" i="3"/>
  <c r="H32" i="3" s="1"/>
  <c r="E29" i="23"/>
  <c r="D29" i="23"/>
  <c r="I31" i="3"/>
  <c r="G30" i="19"/>
  <c r="D31" i="18"/>
  <c r="E31" i="18"/>
  <c r="D28" i="22"/>
  <c r="E28" i="22"/>
  <c r="E29" i="20"/>
  <c r="F29" i="20" s="1"/>
  <c r="H28" i="20"/>
  <c r="G28" i="20"/>
  <c r="B29" i="20"/>
  <c r="G28" i="21"/>
  <c r="I28" i="21" s="1"/>
  <c r="H27" i="22"/>
  <c r="H23" i="37"/>
  <c r="D25" i="34"/>
  <c r="E25" i="34"/>
  <c r="D25" i="31"/>
  <c r="E25" i="31"/>
  <c r="D25" i="35"/>
  <c r="E25" i="35"/>
  <c r="D26" i="29"/>
  <c r="E26" i="29"/>
  <c r="H30" i="18"/>
  <c r="G27" i="22"/>
  <c r="H26" i="25"/>
  <c r="I26" i="25" s="1"/>
  <c r="I113" i="4"/>
  <c r="H113" i="4"/>
  <c r="B113" i="18"/>
  <c r="F113" i="18"/>
  <c r="I112" i="18"/>
  <c r="H112" i="18"/>
  <c r="B114" i="4"/>
  <c r="F114" i="4"/>
  <c r="B106" i="37"/>
  <c r="F106" i="37"/>
  <c r="D110" i="25"/>
  <c r="G109" i="25"/>
  <c r="E110" i="25"/>
  <c r="J108" i="25"/>
  <c r="H106" i="31"/>
  <c r="I106" i="31"/>
  <c r="F107" i="35"/>
  <c r="B107" i="35"/>
  <c r="B107" i="31"/>
  <c r="F107" i="31"/>
  <c r="H106" i="35"/>
  <c r="I106" i="35"/>
  <c r="I109" i="26"/>
  <c r="H109" i="26"/>
  <c r="B111" i="28"/>
  <c r="F111" i="28"/>
  <c r="F110" i="26"/>
  <c r="B110" i="26"/>
  <c r="H110" i="28"/>
  <c r="I110" i="28"/>
  <c r="H105" i="37"/>
  <c r="I105" i="37"/>
  <c r="H110" i="27"/>
  <c r="I110" i="27"/>
  <c r="B111" i="24"/>
  <c r="F111" i="24"/>
  <c r="I106" i="34"/>
  <c r="H106" i="34"/>
  <c r="B111" i="27"/>
  <c r="F111" i="27"/>
  <c r="B107" i="34"/>
  <c r="F107" i="34"/>
  <c r="J112" i="19"/>
  <c r="D114" i="19"/>
  <c r="G113" i="19"/>
  <c r="E114" i="19"/>
  <c r="J109" i="22"/>
  <c r="H106" i="38"/>
  <c r="I106" i="38"/>
  <c r="B111" i="21"/>
  <c r="F111" i="21"/>
  <c r="H110" i="24"/>
  <c r="I110" i="24"/>
  <c r="H110" i="21"/>
  <c r="I110" i="21"/>
  <c r="B107" i="38"/>
  <c r="F107" i="38"/>
  <c r="G110" i="22"/>
  <c r="D111" i="22"/>
  <c r="E111" i="22"/>
  <c r="E115" i="3"/>
  <c r="G114" i="3"/>
  <c r="D115" i="3"/>
  <c r="G107" i="20"/>
  <c r="D108" i="20"/>
  <c r="E108" i="20" s="1"/>
  <c r="J106" i="20"/>
  <c r="I113" i="23" l="1"/>
  <c r="E111" i="29"/>
  <c r="D111" i="29"/>
  <c r="F111" i="29" s="1"/>
  <c r="I110" i="29"/>
  <c r="J110" i="29" s="1"/>
  <c r="G29" i="24"/>
  <c r="I29" i="24" s="1"/>
  <c r="D30" i="24"/>
  <c r="E30" i="24"/>
  <c r="I109" i="29"/>
  <c r="H109" i="29"/>
  <c r="J106" i="13"/>
  <c r="J110" i="28"/>
  <c r="J106" i="35"/>
  <c r="D108" i="13"/>
  <c r="G107" i="13"/>
  <c r="I28" i="20"/>
  <c r="I30" i="19"/>
  <c r="F25" i="31"/>
  <c r="H25" i="31" s="1"/>
  <c r="B25" i="31"/>
  <c r="I23" i="37"/>
  <c r="B29" i="28"/>
  <c r="F29" i="28"/>
  <c r="G29" i="28" s="1"/>
  <c r="D34" i="3"/>
  <c r="E34" i="3"/>
  <c r="B29" i="21"/>
  <c r="F29" i="21"/>
  <c r="F29" i="27"/>
  <c r="G29" i="27" s="1"/>
  <c r="B29" i="27"/>
  <c r="I27" i="22"/>
  <c r="F28" i="22"/>
  <c r="B28" i="22"/>
  <c r="G32" i="3"/>
  <c r="I32" i="3" s="1"/>
  <c r="G33" i="3"/>
  <c r="F31" i="18"/>
  <c r="G31" i="18" s="1"/>
  <c r="B31" i="18"/>
  <c r="I22" i="38"/>
  <c r="F23" i="38"/>
  <c r="G23" i="38" s="1"/>
  <c r="B23" i="38"/>
  <c r="I30" i="18"/>
  <c r="F26" i="29"/>
  <c r="B32" i="4"/>
  <c r="F32" i="4"/>
  <c r="D33" i="4" s="1"/>
  <c r="B27" i="25"/>
  <c r="F27" i="25"/>
  <c r="B24" i="37"/>
  <c r="F24" i="37"/>
  <c r="G24" i="37" s="1"/>
  <c r="B27" i="13"/>
  <c r="F27" i="13"/>
  <c r="H27" i="13" s="1"/>
  <c r="F28" i="26"/>
  <c r="G28" i="26" s="1"/>
  <c r="B28" i="26"/>
  <c r="F25" i="35"/>
  <c r="H25" i="35" s="1"/>
  <c r="B25" i="35"/>
  <c r="B31" i="19"/>
  <c r="F31" i="19"/>
  <c r="H31" i="19" s="1"/>
  <c r="F25" i="34"/>
  <c r="H25" i="34" s="1"/>
  <c r="B25" i="34"/>
  <c r="G29" i="20"/>
  <c r="H29" i="20"/>
  <c r="B30" i="20"/>
  <c r="E30" i="20"/>
  <c r="F30" i="20" s="1"/>
  <c r="B29" i="23"/>
  <c r="F29" i="23"/>
  <c r="G29" i="23" s="1"/>
  <c r="H33" i="3"/>
  <c r="D115" i="4"/>
  <c r="E115" i="4"/>
  <c r="G114" i="4"/>
  <c r="J112" i="18"/>
  <c r="G113" i="18"/>
  <c r="D114" i="18"/>
  <c r="E114" i="18"/>
  <c r="J109" i="26"/>
  <c r="D115" i="23"/>
  <c r="F115" i="23" s="1"/>
  <c r="G114" i="23"/>
  <c r="I114" i="23" s="1"/>
  <c r="J113" i="4"/>
  <c r="J106" i="38"/>
  <c r="J105" i="37"/>
  <c r="J106" i="31"/>
  <c r="E108" i="31"/>
  <c r="G107" i="31"/>
  <c r="D108" i="31"/>
  <c r="I109" i="25"/>
  <c r="H109" i="25"/>
  <c r="F110" i="25"/>
  <c r="B110" i="25"/>
  <c r="D111" i="26"/>
  <c r="G110" i="26"/>
  <c r="E111" i="26"/>
  <c r="G111" i="28"/>
  <c r="E112" i="28"/>
  <c r="D112" i="28"/>
  <c r="G106" i="37"/>
  <c r="E107" i="37"/>
  <c r="D107" i="37"/>
  <c r="J110" i="24"/>
  <c r="G107" i="35"/>
  <c r="D108" i="35"/>
  <c r="E108" i="35"/>
  <c r="J110" i="27"/>
  <c r="F114" i="19"/>
  <c r="B114" i="19"/>
  <c r="J106" i="34"/>
  <c r="H113" i="19"/>
  <c r="I113" i="19"/>
  <c r="D108" i="38"/>
  <c r="E108" i="38" s="1"/>
  <c r="G107" i="38"/>
  <c r="G107" i="34"/>
  <c r="D108" i="34"/>
  <c r="E108" i="34"/>
  <c r="G111" i="24"/>
  <c r="D112" i="24"/>
  <c r="E112" i="24"/>
  <c r="D112" i="27"/>
  <c r="G111" i="27"/>
  <c r="E112" i="27"/>
  <c r="D112" i="21"/>
  <c r="G111" i="21"/>
  <c r="E112" i="21"/>
  <c r="J110" i="21"/>
  <c r="I107" i="20"/>
  <c r="H107" i="20"/>
  <c r="F115" i="3"/>
  <c r="B115" i="3"/>
  <c r="H114" i="3"/>
  <c r="I114" i="3"/>
  <c r="B111" i="22"/>
  <c r="F111" i="22"/>
  <c r="B108" i="20"/>
  <c r="F108" i="20"/>
  <c r="J113" i="23"/>
  <c r="I110" i="22"/>
  <c r="H110" i="22"/>
  <c r="G111" i="29" l="1"/>
  <c r="H111" i="29" s="1"/>
  <c r="D112" i="29"/>
  <c r="E112" i="29"/>
  <c r="B30" i="24"/>
  <c r="F30" i="24"/>
  <c r="G30" i="24" s="1"/>
  <c r="J109" i="29"/>
  <c r="H28" i="26"/>
  <c r="I28" i="26" s="1"/>
  <c r="I107" i="13"/>
  <c r="H107" i="13"/>
  <c r="E108" i="13"/>
  <c r="F108" i="13" s="1"/>
  <c r="B108" i="13"/>
  <c r="I33" i="3"/>
  <c r="H29" i="23"/>
  <c r="I29" i="23" s="1"/>
  <c r="H24" i="37"/>
  <c r="I24" i="37" s="1"/>
  <c r="H23" i="38"/>
  <c r="I23" i="38" s="1"/>
  <c r="H31" i="18"/>
  <c r="I31" i="18" s="1"/>
  <c r="G25" i="31"/>
  <c r="I25" i="31" s="1"/>
  <c r="I29" i="20"/>
  <c r="H29" i="28"/>
  <c r="I29" i="28" s="1"/>
  <c r="D27" i="29"/>
  <c r="E27" i="29"/>
  <c r="D32" i="19"/>
  <c r="E32" i="19"/>
  <c r="E33" i="19"/>
  <c r="G32" i="4"/>
  <c r="D29" i="22"/>
  <c r="E29" i="22"/>
  <c r="D30" i="21"/>
  <c r="E30" i="21"/>
  <c r="H114" i="23"/>
  <c r="J114" i="23" s="1"/>
  <c r="D29" i="26"/>
  <c r="E29" i="26"/>
  <c r="G28" i="22"/>
  <c r="G29" i="21"/>
  <c r="D28" i="13"/>
  <c r="D28" i="25"/>
  <c r="E28" i="25"/>
  <c r="D32" i="18"/>
  <c r="E33" i="18"/>
  <c r="E32" i="18"/>
  <c r="H32" i="4"/>
  <c r="H29" i="21"/>
  <c r="E30" i="23"/>
  <c r="D30" i="23"/>
  <c r="D26" i="34"/>
  <c r="E26" i="34"/>
  <c r="D26" i="35"/>
  <c r="E26" i="35"/>
  <c r="F34" i="3"/>
  <c r="B34" i="3"/>
  <c r="F33" i="4"/>
  <c r="H33" i="4" s="1"/>
  <c r="B33" i="4"/>
  <c r="G25" i="34"/>
  <c r="I25" i="34" s="1"/>
  <c r="G25" i="35"/>
  <c r="I25" i="35" s="1"/>
  <c r="G27" i="13"/>
  <c r="I27" i="13" s="1"/>
  <c r="G27" i="25"/>
  <c r="H26" i="29"/>
  <c r="D24" i="38"/>
  <c r="E24" i="38"/>
  <c r="D30" i="27"/>
  <c r="E30" i="27"/>
  <c r="D30" i="28"/>
  <c r="E30" i="28"/>
  <c r="G30" i="20"/>
  <c r="H30" i="20"/>
  <c r="B31" i="20"/>
  <c r="E31" i="20"/>
  <c r="F31" i="20" s="1"/>
  <c r="G31" i="19"/>
  <c r="I31" i="19" s="1"/>
  <c r="D25" i="37"/>
  <c r="E25" i="37"/>
  <c r="H27" i="25"/>
  <c r="G26" i="29"/>
  <c r="H28" i="22"/>
  <c r="H29" i="27"/>
  <c r="I29" i="27" s="1"/>
  <c r="D26" i="31"/>
  <c r="E26" i="31"/>
  <c r="F115" i="4"/>
  <c r="B115" i="4"/>
  <c r="F114" i="18"/>
  <c r="B114" i="18"/>
  <c r="H113" i="18"/>
  <c r="I113" i="18"/>
  <c r="I114" i="4"/>
  <c r="H114" i="4"/>
  <c r="J109" i="25"/>
  <c r="B112" i="28"/>
  <c r="F112" i="28"/>
  <c r="B108" i="35"/>
  <c r="F108" i="35"/>
  <c r="I111" i="28"/>
  <c r="H111" i="28"/>
  <c r="B108" i="31"/>
  <c r="F108" i="31"/>
  <c r="H107" i="35"/>
  <c r="I107" i="35"/>
  <c r="I107" i="31"/>
  <c r="H107" i="31"/>
  <c r="H110" i="26"/>
  <c r="I110" i="26"/>
  <c r="B111" i="26"/>
  <c r="F111" i="26"/>
  <c r="B107" i="37"/>
  <c r="F107" i="37"/>
  <c r="J113" i="19"/>
  <c r="I106" i="37"/>
  <c r="H106" i="37"/>
  <c r="D111" i="25"/>
  <c r="G110" i="25"/>
  <c r="E111" i="25"/>
  <c r="I111" i="21"/>
  <c r="H111" i="21"/>
  <c r="I107" i="34"/>
  <c r="H107" i="34"/>
  <c r="F108" i="38"/>
  <c r="B108" i="38"/>
  <c r="B112" i="21"/>
  <c r="F112" i="21"/>
  <c r="H111" i="27"/>
  <c r="I111" i="27"/>
  <c r="D115" i="19"/>
  <c r="G114" i="19"/>
  <c r="E115" i="19"/>
  <c r="B112" i="27"/>
  <c r="F112" i="27"/>
  <c r="F112" i="24"/>
  <c r="B112" i="24"/>
  <c r="I111" i="24"/>
  <c r="H111" i="24"/>
  <c r="J114" i="3"/>
  <c r="B108" i="34"/>
  <c r="F108" i="34"/>
  <c r="H107" i="38"/>
  <c r="I107" i="38"/>
  <c r="G111" i="22"/>
  <c r="D112" i="22"/>
  <c r="E112" i="22"/>
  <c r="D116" i="3"/>
  <c r="G115" i="3"/>
  <c r="E116" i="3"/>
  <c r="J107" i="20"/>
  <c r="J110" i="22"/>
  <c r="G115" i="23"/>
  <c r="E116" i="23"/>
  <c r="D116" i="23"/>
  <c r="G108" i="20"/>
  <c r="D109" i="20"/>
  <c r="E109" i="20" s="1"/>
  <c r="I111" i="29" l="1"/>
  <c r="F112" i="29"/>
  <c r="G112" i="29" s="1"/>
  <c r="H30" i="24"/>
  <c r="I30" i="24" s="1"/>
  <c r="D31" i="24"/>
  <c r="E31" i="24"/>
  <c r="F116" i="23"/>
  <c r="G116" i="23" s="1"/>
  <c r="D109" i="13"/>
  <c r="G108" i="13"/>
  <c r="J107" i="13"/>
  <c r="I30" i="20"/>
  <c r="I28" i="22"/>
  <c r="I29" i="21"/>
  <c r="J114" i="4"/>
  <c r="D35" i="3"/>
  <c r="E35" i="3"/>
  <c r="F26" i="34"/>
  <c r="H26" i="34" s="1"/>
  <c r="B26" i="34"/>
  <c r="F32" i="18"/>
  <c r="D33" i="18" s="1"/>
  <c r="B32" i="18"/>
  <c r="B29" i="22"/>
  <c r="F29" i="22"/>
  <c r="H29" i="22" s="1"/>
  <c r="F24" i="38"/>
  <c r="H24" i="38" s="1"/>
  <c r="B24" i="38"/>
  <c r="D34" i="4"/>
  <c r="E34" i="4"/>
  <c r="F30" i="23"/>
  <c r="B30" i="23"/>
  <c r="J111" i="21"/>
  <c r="I27" i="25"/>
  <c r="I26" i="29"/>
  <c r="G33" i="4"/>
  <c r="I33" i="4" s="1"/>
  <c r="B28" i="25"/>
  <c r="F28" i="25"/>
  <c r="G28" i="25" s="1"/>
  <c r="B28" i="13"/>
  <c r="B29" i="26"/>
  <c r="F29" i="26"/>
  <c r="H29" i="26" s="1"/>
  <c r="B25" i="37"/>
  <c r="F25" i="37"/>
  <c r="H25" i="37" s="1"/>
  <c r="I32" i="4"/>
  <c r="E28" i="13"/>
  <c r="F28" i="13" s="1"/>
  <c r="J110" i="26"/>
  <c r="B30" i="28"/>
  <c r="F30" i="28"/>
  <c r="G30" i="28" s="1"/>
  <c r="G34" i="3"/>
  <c r="B32" i="19"/>
  <c r="F32" i="19"/>
  <c r="D33" i="19" s="1"/>
  <c r="B26" i="31"/>
  <c r="F26" i="31"/>
  <c r="G26" i="31" s="1"/>
  <c r="E32" i="20"/>
  <c r="F32" i="20" s="1"/>
  <c r="E33" i="20"/>
  <c r="F33" i="20" s="1"/>
  <c r="B32" i="20"/>
  <c r="H31" i="20"/>
  <c r="G31" i="20"/>
  <c r="H34" i="3"/>
  <c r="B26" i="35"/>
  <c r="F26" i="35"/>
  <c r="H26" i="35" s="1"/>
  <c r="F30" i="21"/>
  <c r="H30" i="21" s="1"/>
  <c r="B30" i="21"/>
  <c r="J111" i="29"/>
  <c r="J113" i="18"/>
  <c r="B30" i="27"/>
  <c r="F30" i="27"/>
  <c r="H30" i="27" s="1"/>
  <c r="F27" i="29"/>
  <c r="H27" i="29" s="1"/>
  <c r="J107" i="31"/>
  <c r="D115" i="18"/>
  <c r="E115" i="18"/>
  <c r="G114" i="18"/>
  <c r="E116" i="4"/>
  <c r="G115" i="4"/>
  <c r="D116" i="4"/>
  <c r="D112" i="26"/>
  <c r="G111" i="26"/>
  <c r="E112" i="26"/>
  <c r="G108" i="31"/>
  <c r="E109" i="31"/>
  <c r="D109" i="31"/>
  <c r="H110" i="25"/>
  <c r="I110" i="25"/>
  <c r="B111" i="25"/>
  <c r="F111" i="25"/>
  <c r="J111" i="28"/>
  <c r="J106" i="37"/>
  <c r="D109" i="35"/>
  <c r="E109" i="35"/>
  <c r="G108" i="35"/>
  <c r="G107" i="37"/>
  <c r="D108" i="37"/>
  <c r="E108" i="37"/>
  <c r="J107" i="35"/>
  <c r="G112" i="28"/>
  <c r="D113" i="28"/>
  <c r="E113" i="28"/>
  <c r="J107" i="38"/>
  <c r="J111" i="27"/>
  <c r="J111" i="24"/>
  <c r="F115" i="19"/>
  <c r="B115" i="19"/>
  <c r="D109" i="34"/>
  <c r="G108" i="34"/>
  <c r="E109" i="34"/>
  <c r="I112" i="29"/>
  <c r="H112" i="29"/>
  <c r="D109" i="38"/>
  <c r="E109" i="38" s="1"/>
  <c r="G108" i="38"/>
  <c r="J107" i="34"/>
  <c r="G112" i="24"/>
  <c r="D113" i="24"/>
  <c r="E113" i="24"/>
  <c r="D113" i="27"/>
  <c r="G112" i="27"/>
  <c r="E113" i="27"/>
  <c r="I114" i="19"/>
  <c r="H114" i="19"/>
  <c r="G112" i="21"/>
  <c r="D113" i="21"/>
  <c r="E113" i="21"/>
  <c r="I108" i="20"/>
  <c r="H108" i="20"/>
  <c r="F109" i="20"/>
  <c r="B109" i="20"/>
  <c r="F112" i="22"/>
  <c r="B112" i="22"/>
  <c r="B116" i="3"/>
  <c r="F116" i="3"/>
  <c r="H111" i="22"/>
  <c r="I111" i="22"/>
  <c r="H115" i="23"/>
  <c r="I115" i="23"/>
  <c r="H115" i="3"/>
  <c r="I115" i="3"/>
  <c r="D113" i="29" l="1"/>
  <c r="E113" i="29"/>
  <c r="F113" i="29" s="1"/>
  <c r="E117" i="23"/>
  <c r="D117" i="23"/>
  <c r="F117" i="23" s="1"/>
  <c r="B31" i="24"/>
  <c r="F31" i="24"/>
  <c r="G31" i="24" s="1"/>
  <c r="G26" i="34"/>
  <c r="I26" i="34" s="1"/>
  <c r="H108" i="13"/>
  <c r="I108" i="13"/>
  <c r="E109" i="13"/>
  <c r="F109" i="13" s="1"/>
  <c r="B109" i="13"/>
  <c r="G25" i="37"/>
  <c r="I25" i="37" s="1"/>
  <c r="G29" i="26"/>
  <c r="I29" i="26" s="1"/>
  <c r="I34" i="3"/>
  <c r="G30" i="21"/>
  <c r="I30" i="21" s="1"/>
  <c r="I31" i="20"/>
  <c r="G32" i="19"/>
  <c r="D29" i="13"/>
  <c r="E29" i="13" s="1"/>
  <c r="H28" i="13"/>
  <c r="G28" i="13"/>
  <c r="G26" i="35"/>
  <c r="I26" i="35" s="1"/>
  <c r="G32" i="18"/>
  <c r="D27" i="31"/>
  <c r="E27" i="31"/>
  <c r="D31" i="23"/>
  <c r="E31" i="23"/>
  <c r="D25" i="38"/>
  <c r="E25" i="38"/>
  <c r="B33" i="18"/>
  <c r="F33" i="18"/>
  <c r="G33" i="18" s="1"/>
  <c r="D28" i="29"/>
  <c r="E28" i="29"/>
  <c r="H26" i="31"/>
  <c r="I26" i="31" s="1"/>
  <c r="D31" i="28"/>
  <c r="E31" i="28" s="1"/>
  <c r="H30" i="23"/>
  <c r="G27" i="29"/>
  <c r="I27" i="29" s="1"/>
  <c r="D26" i="37"/>
  <c r="E26" i="37"/>
  <c r="G30" i="23"/>
  <c r="D30" i="22"/>
  <c r="E30" i="22"/>
  <c r="D31" i="27"/>
  <c r="E31" i="27"/>
  <c r="B33" i="19"/>
  <c r="F33" i="19"/>
  <c r="G33" i="19" s="1"/>
  <c r="H30" i="28"/>
  <c r="I30" i="28" s="1"/>
  <c r="G29" i="22"/>
  <c r="I29" i="22" s="1"/>
  <c r="G30" i="27"/>
  <c r="I30" i="27" s="1"/>
  <c r="D31" i="21"/>
  <c r="E31" i="21"/>
  <c r="F34" i="4"/>
  <c r="H34" i="4" s="1"/>
  <c r="B34" i="4"/>
  <c r="D27" i="34"/>
  <c r="E27" i="34"/>
  <c r="D27" i="35"/>
  <c r="E27" i="35"/>
  <c r="E34" i="20"/>
  <c r="F34" i="20" s="1"/>
  <c r="B34" i="20"/>
  <c r="H33" i="20"/>
  <c r="G33" i="20"/>
  <c r="D29" i="25"/>
  <c r="E29" i="25"/>
  <c r="G32" i="20"/>
  <c r="H32" i="20"/>
  <c r="B33" i="20"/>
  <c r="H32" i="19"/>
  <c r="D30" i="26"/>
  <c r="E30" i="26"/>
  <c r="H28" i="25"/>
  <c r="I28" i="25" s="1"/>
  <c r="G24" i="38"/>
  <c r="I24" i="38" s="1"/>
  <c r="H32" i="18"/>
  <c r="F35" i="3"/>
  <c r="H35" i="3" s="1"/>
  <c r="B35" i="3"/>
  <c r="J110" i="25"/>
  <c r="B116" i="4"/>
  <c r="F116" i="4"/>
  <c r="H115" i="4"/>
  <c r="I115" i="4"/>
  <c r="H114" i="18"/>
  <c r="I114" i="18"/>
  <c r="B115" i="18"/>
  <c r="F115" i="18"/>
  <c r="I107" i="37"/>
  <c r="H107" i="37"/>
  <c r="H108" i="35"/>
  <c r="I108" i="35"/>
  <c r="B109" i="31"/>
  <c r="F109" i="31"/>
  <c r="B113" i="28"/>
  <c r="F113" i="28"/>
  <c r="B109" i="35"/>
  <c r="F109" i="35"/>
  <c r="I112" i="28"/>
  <c r="H112" i="28"/>
  <c r="H108" i="31"/>
  <c r="I108" i="31"/>
  <c r="G111" i="25"/>
  <c r="D112" i="25"/>
  <c r="E112" i="25"/>
  <c r="I111" i="26"/>
  <c r="H111" i="26"/>
  <c r="F108" i="37"/>
  <c r="B108" i="37"/>
  <c r="F112" i="26"/>
  <c r="B112" i="26"/>
  <c r="J115" i="3"/>
  <c r="J112" i="29"/>
  <c r="J114" i="19"/>
  <c r="B113" i="24"/>
  <c r="F113" i="24"/>
  <c r="J111" i="22"/>
  <c r="H112" i="24"/>
  <c r="I112" i="24"/>
  <c r="B109" i="38"/>
  <c r="F109" i="38"/>
  <c r="D116" i="19"/>
  <c r="G115" i="19"/>
  <c r="E116" i="19"/>
  <c r="H112" i="27"/>
  <c r="I112" i="27"/>
  <c r="F113" i="27"/>
  <c r="B113" i="27"/>
  <c r="B113" i="21"/>
  <c r="F113" i="21"/>
  <c r="I108" i="34"/>
  <c r="H108" i="34"/>
  <c r="J115" i="23"/>
  <c r="H112" i="21"/>
  <c r="I112" i="21"/>
  <c r="H108" i="38"/>
  <c r="I108" i="38"/>
  <c r="B109" i="34"/>
  <c r="F109" i="34"/>
  <c r="G112" i="22"/>
  <c r="D113" i="22"/>
  <c r="E113" i="22"/>
  <c r="D117" i="3"/>
  <c r="G116" i="3"/>
  <c r="E117" i="3"/>
  <c r="G109" i="20"/>
  <c r="D110" i="20"/>
  <c r="E110" i="20" s="1"/>
  <c r="H116" i="23"/>
  <c r="I116" i="23"/>
  <c r="J108" i="20"/>
  <c r="I32" i="19" l="1"/>
  <c r="G113" i="29"/>
  <c r="H113" i="29" s="1"/>
  <c r="E114" i="29"/>
  <c r="D114" i="29"/>
  <c r="F114" i="29" s="1"/>
  <c r="G114" i="29" s="1"/>
  <c r="G35" i="3"/>
  <c r="I35" i="3" s="1"/>
  <c r="J108" i="13"/>
  <c r="H31" i="24"/>
  <c r="I31" i="24" s="1"/>
  <c r="D32" i="24"/>
  <c r="E32" i="24"/>
  <c r="G109" i="13"/>
  <c r="D110" i="13"/>
  <c r="I33" i="20"/>
  <c r="I30" i="23"/>
  <c r="I32" i="18"/>
  <c r="F29" i="25"/>
  <c r="G29" i="25" s="1"/>
  <c r="B29" i="25"/>
  <c r="H33" i="18"/>
  <c r="I33" i="18" s="1"/>
  <c r="B27" i="34"/>
  <c r="F27" i="34"/>
  <c r="G27" i="34" s="1"/>
  <c r="B31" i="28"/>
  <c r="F31" i="28"/>
  <c r="H31" i="28" s="1"/>
  <c r="B30" i="26"/>
  <c r="F30" i="26"/>
  <c r="B31" i="27"/>
  <c r="F31" i="27"/>
  <c r="G31" i="27" s="1"/>
  <c r="B25" i="38"/>
  <c r="F25" i="38"/>
  <c r="G25" i="38" s="1"/>
  <c r="J108" i="31"/>
  <c r="J114" i="18"/>
  <c r="F26" i="37"/>
  <c r="G26" i="37" s="1"/>
  <c r="B26" i="37"/>
  <c r="I28" i="13"/>
  <c r="B35" i="20"/>
  <c r="H34" i="20"/>
  <c r="G34" i="20"/>
  <c r="E35" i="20"/>
  <c r="F35" i="20" s="1"/>
  <c r="D35" i="4"/>
  <c r="E35" i="4"/>
  <c r="D34" i="19"/>
  <c r="E34" i="19"/>
  <c r="F30" i="22"/>
  <c r="H30" i="22" s="1"/>
  <c r="B30" i="22"/>
  <c r="F28" i="29"/>
  <c r="H28" i="29" s="1"/>
  <c r="F31" i="23"/>
  <c r="B31" i="23"/>
  <c r="J108" i="35"/>
  <c r="J115" i="4"/>
  <c r="D36" i="3"/>
  <c r="E36" i="3"/>
  <c r="I32" i="20"/>
  <c r="G34" i="4"/>
  <c r="I34" i="4" s="1"/>
  <c r="H33" i="19"/>
  <c r="I33" i="19" s="1"/>
  <c r="B29" i="13"/>
  <c r="F29" i="13"/>
  <c r="H29" i="13" s="1"/>
  <c r="B27" i="35"/>
  <c r="F27" i="35"/>
  <c r="H27" i="35" s="1"/>
  <c r="D34" i="18"/>
  <c r="E34" i="18"/>
  <c r="F27" i="31"/>
  <c r="H27" i="31" s="1"/>
  <c r="B27" i="31"/>
  <c r="B31" i="21"/>
  <c r="F31" i="21"/>
  <c r="H31" i="21" s="1"/>
  <c r="D117" i="4"/>
  <c r="G116" i="4"/>
  <c r="E117" i="4"/>
  <c r="G115" i="18"/>
  <c r="D116" i="18"/>
  <c r="E116" i="18"/>
  <c r="J108" i="38"/>
  <c r="B112" i="25"/>
  <c r="F112" i="25"/>
  <c r="G113" i="28"/>
  <c r="D114" i="28"/>
  <c r="E114" i="28"/>
  <c r="G112" i="26"/>
  <c r="D113" i="26"/>
  <c r="E113" i="26"/>
  <c r="E110" i="31"/>
  <c r="D110" i="31"/>
  <c r="G109" i="31"/>
  <c r="D109" i="37"/>
  <c r="G108" i="37"/>
  <c r="E109" i="37"/>
  <c r="H111" i="25"/>
  <c r="I111" i="25"/>
  <c r="J112" i="28"/>
  <c r="J111" i="26"/>
  <c r="D110" i="35"/>
  <c r="E110" i="35"/>
  <c r="G109" i="35"/>
  <c r="J107" i="37"/>
  <c r="J112" i="27"/>
  <c r="D114" i="21"/>
  <c r="G113" i="21"/>
  <c r="E114" i="21"/>
  <c r="I113" i="29"/>
  <c r="I115" i="19"/>
  <c r="H115" i="19"/>
  <c r="F116" i="19"/>
  <c r="B116" i="19"/>
  <c r="G109" i="34"/>
  <c r="D110" i="34"/>
  <c r="E110" i="34"/>
  <c r="J108" i="34"/>
  <c r="D114" i="27"/>
  <c r="G113" i="27"/>
  <c r="E114" i="27"/>
  <c r="G109" i="38"/>
  <c r="D110" i="38"/>
  <c r="E110" i="38" s="1"/>
  <c r="J112" i="24"/>
  <c r="G113" i="24"/>
  <c r="D114" i="24"/>
  <c r="E114" i="24"/>
  <c r="J116" i="23"/>
  <c r="J112" i="21"/>
  <c r="H116" i="3"/>
  <c r="I116" i="3"/>
  <c r="B110" i="20"/>
  <c r="F110" i="20"/>
  <c r="B113" i="22"/>
  <c r="F113" i="22"/>
  <c r="H109" i="20"/>
  <c r="I109" i="20"/>
  <c r="I112" i="22"/>
  <c r="H112" i="22"/>
  <c r="F117" i="3"/>
  <c r="B117" i="3"/>
  <c r="G117" i="23"/>
  <c r="D118" i="23"/>
  <c r="E118" i="23"/>
  <c r="B32" i="24" l="1"/>
  <c r="F32" i="24"/>
  <c r="H32" i="24" s="1"/>
  <c r="G27" i="35"/>
  <c r="I27" i="35" s="1"/>
  <c r="J115" i="19"/>
  <c r="E110" i="13"/>
  <c r="F110" i="13" s="1"/>
  <c r="B110" i="13"/>
  <c r="I109" i="13"/>
  <c r="H109" i="13"/>
  <c r="G29" i="13"/>
  <c r="I29" i="13" s="1"/>
  <c r="G28" i="29"/>
  <c r="I28" i="29" s="1"/>
  <c r="G31" i="28"/>
  <c r="I31" i="28" s="1"/>
  <c r="G30" i="22"/>
  <c r="I30" i="22" s="1"/>
  <c r="F35" i="4"/>
  <c r="G35" i="4" s="1"/>
  <c r="B35" i="4"/>
  <c r="G35" i="20"/>
  <c r="E36" i="20"/>
  <c r="F36" i="20" s="1"/>
  <c r="B36" i="20"/>
  <c r="H35" i="20"/>
  <c r="D27" i="37"/>
  <c r="E27" i="37"/>
  <c r="D32" i="27"/>
  <c r="E32" i="27"/>
  <c r="D32" i="28"/>
  <c r="E32" i="28"/>
  <c r="D32" i="21"/>
  <c r="E32" i="21"/>
  <c r="E33" i="21"/>
  <c r="B34" i="18"/>
  <c r="F34" i="18"/>
  <c r="H34" i="18" s="1"/>
  <c r="D32" i="23"/>
  <c r="E32" i="23"/>
  <c r="I34" i="20"/>
  <c r="H31" i="27"/>
  <c r="I31" i="27" s="1"/>
  <c r="H29" i="25"/>
  <c r="I29" i="25" s="1"/>
  <c r="G31" i="21"/>
  <c r="I31" i="21" s="1"/>
  <c r="D28" i="35"/>
  <c r="E28" i="35"/>
  <c r="H31" i="23"/>
  <c r="D31" i="22"/>
  <c r="E31" i="22"/>
  <c r="H25" i="38"/>
  <c r="I25" i="38" s="1"/>
  <c r="D31" i="26"/>
  <c r="E31" i="26"/>
  <c r="G31" i="23"/>
  <c r="H30" i="26"/>
  <c r="D28" i="34"/>
  <c r="E28" i="34"/>
  <c r="D28" i="31"/>
  <c r="E28" i="31"/>
  <c r="B34" i="19"/>
  <c r="F34" i="19"/>
  <c r="H34" i="19" s="1"/>
  <c r="D26" i="38"/>
  <c r="E26" i="38"/>
  <c r="D30" i="25"/>
  <c r="E30" i="25"/>
  <c r="G27" i="31"/>
  <c r="I27" i="31" s="1"/>
  <c r="D30" i="13"/>
  <c r="E30" i="13" s="1"/>
  <c r="F36" i="3"/>
  <c r="H36" i="3" s="1"/>
  <c r="B36" i="3"/>
  <c r="D29" i="29"/>
  <c r="E29" i="29"/>
  <c r="H26" i="37"/>
  <c r="I26" i="37" s="1"/>
  <c r="G30" i="26"/>
  <c r="H27" i="34"/>
  <c r="I27" i="34" s="1"/>
  <c r="B116" i="18"/>
  <c r="F116" i="18"/>
  <c r="H115" i="18"/>
  <c r="I115" i="18"/>
  <c r="H116" i="4"/>
  <c r="I116" i="4"/>
  <c r="F117" i="4"/>
  <c r="B117" i="4"/>
  <c r="B113" i="26"/>
  <c r="F113" i="26"/>
  <c r="H112" i="26"/>
  <c r="I112" i="26"/>
  <c r="I109" i="35"/>
  <c r="H109" i="35"/>
  <c r="I108" i="37"/>
  <c r="H108" i="37"/>
  <c r="F109" i="37"/>
  <c r="B109" i="37"/>
  <c r="F114" i="28"/>
  <c r="B114" i="28"/>
  <c r="F110" i="35"/>
  <c r="B110" i="35"/>
  <c r="H109" i="31"/>
  <c r="I109" i="31"/>
  <c r="H113" i="28"/>
  <c r="I113" i="28"/>
  <c r="B110" i="31"/>
  <c r="F110" i="31"/>
  <c r="G112" i="25"/>
  <c r="D113" i="25"/>
  <c r="E113" i="25"/>
  <c r="J109" i="20"/>
  <c r="J116" i="3"/>
  <c r="J111" i="25"/>
  <c r="E115" i="29"/>
  <c r="D115" i="29"/>
  <c r="J113" i="29"/>
  <c r="B110" i="38"/>
  <c r="F110" i="38"/>
  <c r="H109" i="38"/>
  <c r="I109" i="38"/>
  <c r="I114" i="29"/>
  <c r="H114" i="29"/>
  <c r="F110" i="34"/>
  <c r="B110" i="34"/>
  <c r="B114" i="27"/>
  <c r="F114" i="27"/>
  <c r="H109" i="34"/>
  <c r="I109" i="34"/>
  <c r="H113" i="21"/>
  <c r="I113" i="21"/>
  <c r="H113" i="24"/>
  <c r="I113" i="24"/>
  <c r="F118" i="23"/>
  <c r="D119" i="23" s="1"/>
  <c r="B114" i="24"/>
  <c r="F114" i="24"/>
  <c r="H113" i="27"/>
  <c r="I113" i="27"/>
  <c r="D117" i="19"/>
  <c r="G116" i="19"/>
  <c r="E117" i="19"/>
  <c r="F114" i="21"/>
  <c r="B114" i="21"/>
  <c r="J112" i="22"/>
  <c r="D114" i="22"/>
  <c r="G113" i="22"/>
  <c r="E114" i="22"/>
  <c r="D111" i="20"/>
  <c r="E111" i="20" s="1"/>
  <c r="G110" i="20"/>
  <c r="H117" i="23"/>
  <c r="I117" i="23"/>
  <c r="G117" i="3"/>
  <c r="E118" i="3"/>
  <c r="D118" i="3"/>
  <c r="G32" i="24" l="1"/>
  <c r="I32" i="24" s="1"/>
  <c r="D33" i="24"/>
  <c r="E33" i="24"/>
  <c r="F115" i="29"/>
  <c r="G115" i="29" s="1"/>
  <c r="J109" i="13"/>
  <c r="D111" i="13"/>
  <c r="G110" i="13"/>
  <c r="H35" i="4"/>
  <c r="I35" i="4" s="1"/>
  <c r="G36" i="3"/>
  <c r="I36" i="3" s="1"/>
  <c r="G34" i="19"/>
  <c r="I34" i="19" s="1"/>
  <c r="I31" i="23"/>
  <c r="F30" i="25"/>
  <c r="G30" i="25" s="1"/>
  <c r="B30" i="25"/>
  <c r="B28" i="31"/>
  <c r="F28" i="31"/>
  <c r="H28" i="31" s="1"/>
  <c r="B32" i="28"/>
  <c r="F32" i="28"/>
  <c r="F31" i="22"/>
  <c r="B31" i="22"/>
  <c r="D35" i="18"/>
  <c r="E35" i="18"/>
  <c r="B26" i="38"/>
  <c r="F26" i="38"/>
  <c r="G26" i="38" s="1"/>
  <c r="B28" i="34"/>
  <c r="F28" i="34"/>
  <c r="H28" i="34" s="1"/>
  <c r="B32" i="23"/>
  <c r="F32" i="23"/>
  <c r="H32" i="23" s="1"/>
  <c r="F32" i="27"/>
  <c r="H32" i="27" s="1"/>
  <c r="B32" i="27"/>
  <c r="D37" i="3"/>
  <c r="E37" i="3"/>
  <c r="I30" i="26"/>
  <c r="G34" i="18"/>
  <c r="I34" i="18" s="1"/>
  <c r="B28" i="35"/>
  <c r="F28" i="35"/>
  <c r="G28" i="35" s="1"/>
  <c r="B27" i="37"/>
  <c r="F27" i="37"/>
  <c r="D36" i="4"/>
  <c r="E36" i="4"/>
  <c r="G118" i="23"/>
  <c r="H118" i="23" s="1"/>
  <c r="J116" i="4"/>
  <c r="F30" i="13"/>
  <c r="G30" i="13" s="1"/>
  <c r="B30" i="13"/>
  <c r="D35" i="19"/>
  <c r="E35" i="19"/>
  <c r="I35" i="20"/>
  <c r="F31" i="26"/>
  <c r="H31" i="26" s="1"/>
  <c r="B31" i="26"/>
  <c r="F32" i="21"/>
  <c r="D33" i="21" s="1"/>
  <c r="B32" i="21"/>
  <c r="J112" i="26"/>
  <c r="J115" i="18"/>
  <c r="F29" i="29"/>
  <c r="H36" i="20"/>
  <c r="E37" i="20"/>
  <c r="F37" i="20" s="1"/>
  <c r="G36" i="20"/>
  <c r="B37" i="20"/>
  <c r="J108" i="37"/>
  <c r="D118" i="4"/>
  <c r="G117" i="4"/>
  <c r="E118" i="4"/>
  <c r="J113" i="28"/>
  <c r="D117" i="18"/>
  <c r="G116" i="18"/>
  <c r="E117" i="18"/>
  <c r="J109" i="31"/>
  <c r="F113" i="25"/>
  <c r="B113" i="25"/>
  <c r="J109" i="38"/>
  <c r="H112" i="25"/>
  <c r="I112" i="25"/>
  <c r="D111" i="35"/>
  <c r="G110" i="35"/>
  <c r="E111" i="35"/>
  <c r="J109" i="35"/>
  <c r="G110" i="31"/>
  <c r="E111" i="31"/>
  <c r="D111" i="31"/>
  <c r="D115" i="28"/>
  <c r="G114" i="28"/>
  <c r="E115" i="28"/>
  <c r="G113" i="26"/>
  <c r="E114" i="26"/>
  <c r="D114" i="26"/>
  <c r="J113" i="21"/>
  <c r="D110" i="37"/>
  <c r="G109" i="37"/>
  <c r="E110" i="37"/>
  <c r="E119" i="23"/>
  <c r="F119" i="23" s="1"/>
  <c r="J109" i="34"/>
  <c r="J117" i="23"/>
  <c r="G114" i="21"/>
  <c r="D115" i="21"/>
  <c r="E115" i="21"/>
  <c r="J113" i="27"/>
  <c r="J113" i="24"/>
  <c r="D115" i="24"/>
  <c r="G114" i="24"/>
  <c r="E115" i="24"/>
  <c r="D115" i="27"/>
  <c r="G114" i="27"/>
  <c r="E115" i="27"/>
  <c r="J114" i="29"/>
  <c r="I116" i="19"/>
  <c r="H116" i="19"/>
  <c r="B117" i="19"/>
  <c r="F117" i="19"/>
  <c r="D111" i="38"/>
  <c r="E111" i="38" s="1"/>
  <c r="G110" i="38"/>
  <c r="G110" i="34"/>
  <c r="D111" i="34"/>
  <c r="E111" i="34"/>
  <c r="H113" i="22"/>
  <c r="I113" i="22"/>
  <c r="H117" i="3"/>
  <c r="I117" i="3"/>
  <c r="B114" i="22"/>
  <c r="F114" i="22"/>
  <c r="B111" i="20"/>
  <c r="F111" i="20"/>
  <c r="I110" i="20"/>
  <c r="H110" i="20"/>
  <c r="F118" i="3"/>
  <c r="B118" i="3"/>
  <c r="I118" i="23" l="1"/>
  <c r="D116" i="29"/>
  <c r="E116" i="29"/>
  <c r="F33" i="24"/>
  <c r="H33" i="24" s="1"/>
  <c r="B33" i="24"/>
  <c r="G32" i="27"/>
  <c r="I32" i="27" s="1"/>
  <c r="J112" i="25"/>
  <c r="I110" i="13"/>
  <c r="H110" i="13"/>
  <c r="E111" i="13"/>
  <c r="F111" i="13" s="1"/>
  <c r="B111" i="13"/>
  <c r="G31" i="26"/>
  <c r="I31" i="26" s="1"/>
  <c r="G28" i="31"/>
  <c r="I28" i="31" s="1"/>
  <c r="G32" i="23"/>
  <c r="I32" i="23" s="1"/>
  <c r="D31" i="13"/>
  <c r="E31" i="13" s="1"/>
  <c r="D28" i="37"/>
  <c r="E28" i="37"/>
  <c r="D32" i="26"/>
  <c r="E32" i="26"/>
  <c r="D27" i="38"/>
  <c r="E27" i="38"/>
  <c r="D32" i="22"/>
  <c r="E33" i="22"/>
  <c r="E32" i="22"/>
  <c r="B38" i="20"/>
  <c r="G37" i="20"/>
  <c r="E38" i="20"/>
  <c r="F38" i="20" s="1"/>
  <c r="H37" i="20"/>
  <c r="D33" i="23"/>
  <c r="E33" i="23"/>
  <c r="D33" i="28"/>
  <c r="E33" i="28"/>
  <c r="I36" i="20"/>
  <c r="H32" i="21"/>
  <c r="F37" i="3"/>
  <c r="G37" i="3" s="1"/>
  <c r="B37" i="3"/>
  <c r="H26" i="38"/>
  <c r="I26" i="38" s="1"/>
  <c r="H30" i="25"/>
  <c r="I30" i="25" s="1"/>
  <c r="G32" i="21"/>
  <c r="D29" i="35"/>
  <c r="E29" i="35"/>
  <c r="G28" i="34"/>
  <c r="I28" i="34" s="1"/>
  <c r="G32" i="28"/>
  <c r="D30" i="29"/>
  <c r="E30" i="29"/>
  <c r="B33" i="21"/>
  <c r="F33" i="21"/>
  <c r="G33" i="21" s="1"/>
  <c r="B35" i="19"/>
  <c r="F35" i="19"/>
  <c r="G35" i="19" s="1"/>
  <c r="B36" i="4"/>
  <c r="F36" i="4"/>
  <c r="G36" i="4" s="1"/>
  <c r="H28" i="35"/>
  <c r="I28" i="35" s="1"/>
  <c r="B35" i="18"/>
  <c r="F35" i="18"/>
  <c r="G35" i="18" s="1"/>
  <c r="H32" i="28"/>
  <c r="I32" i="28" s="1"/>
  <c r="G29" i="29"/>
  <c r="H30" i="13"/>
  <c r="I30" i="13" s="1"/>
  <c r="G27" i="37"/>
  <c r="D29" i="34"/>
  <c r="E29" i="34"/>
  <c r="G31" i="22"/>
  <c r="D31" i="25"/>
  <c r="E31" i="25"/>
  <c r="H29" i="29"/>
  <c r="H27" i="37"/>
  <c r="D33" i="27"/>
  <c r="E33" i="27"/>
  <c r="H31" i="22"/>
  <c r="D29" i="31"/>
  <c r="E29" i="31"/>
  <c r="B117" i="18"/>
  <c r="F117" i="18"/>
  <c r="J118" i="23"/>
  <c r="I116" i="18"/>
  <c r="H116" i="18"/>
  <c r="I117" i="4"/>
  <c r="H117" i="4"/>
  <c r="B118" i="4"/>
  <c r="F118" i="4"/>
  <c r="J116" i="19"/>
  <c r="I110" i="35"/>
  <c r="H110" i="35"/>
  <c r="I114" i="28"/>
  <c r="H114" i="28"/>
  <c r="F111" i="35"/>
  <c r="B111" i="35"/>
  <c r="H109" i="37"/>
  <c r="I109" i="37"/>
  <c r="B115" i="28"/>
  <c r="F115" i="28"/>
  <c r="F110" i="37"/>
  <c r="B110" i="37"/>
  <c r="F111" i="31"/>
  <c r="B111" i="31"/>
  <c r="F114" i="26"/>
  <c r="B114" i="26"/>
  <c r="I110" i="31"/>
  <c r="H110" i="31"/>
  <c r="G113" i="25"/>
  <c r="E114" i="25"/>
  <c r="D114" i="25"/>
  <c r="J117" i="3"/>
  <c r="H113" i="26"/>
  <c r="I113" i="26"/>
  <c r="H110" i="34"/>
  <c r="I110" i="34"/>
  <c r="I114" i="24"/>
  <c r="H114" i="24"/>
  <c r="H110" i="38"/>
  <c r="I110" i="38"/>
  <c r="H114" i="27"/>
  <c r="I114" i="27"/>
  <c r="B115" i="24"/>
  <c r="F115" i="24"/>
  <c r="B111" i="38"/>
  <c r="F111" i="38"/>
  <c r="F115" i="27"/>
  <c r="B115" i="27"/>
  <c r="H115" i="29"/>
  <c r="I115" i="29"/>
  <c r="F115" i="21"/>
  <c r="B115" i="21"/>
  <c r="J113" i="22"/>
  <c r="F116" i="29"/>
  <c r="I114" i="21"/>
  <c r="H114" i="21"/>
  <c r="G117" i="19"/>
  <c r="D118" i="19"/>
  <c r="E118" i="19"/>
  <c r="B111" i="34"/>
  <c r="F111" i="34"/>
  <c r="G111" i="20"/>
  <c r="D112" i="20"/>
  <c r="E119" i="3"/>
  <c r="G118" i="3"/>
  <c r="D119" i="3"/>
  <c r="D115" i="22"/>
  <c r="E115" i="22"/>
  <c r="G114" i="22"/>
  <c r="J110" i="20"/>
  <c r="G119" i="23"/>
  <c r="D120" i="23"/>
  <c r="E120" i="23" s="1"/>
  <c r="I29" i="29" l="1"/>
  <c r="G33" i="24"/>
  <c r="I33" i="24" s="1"/>
  <c r="D34" i="24"/>
  <c r="E34" i="24"/>
  <c r="D112" i="13"/>
  <c r="G111" i="13"/>
  <c r="J110" i="13"/>
  <c r="I37" i="20"/>
  <c r="J117" i="4"/>
  <c r="I31" i="22"/>
  <c r="I32" i="21"/>
  <c r="B29" i="31"/>
  <c r="F29" i="31"/>
  <c r="G29" i="31" s="1"/>
  <c r="F27" i="38"/>
  <c r="H27" i="38" s="1"/>
  <c r="B27" i="38"/>
  <c r="D36" i="18"/>
  <c r="E36" i="18"/>
  <c r="D36" i="19"/>
  <c r="E36" i="19"/>
  <c r="F30" i="29"/>
  <c r="H30" i="29" s="1"/>
  <c r="B33" i="28"/>
  <c r="F33" i="28"/>
  <c r="H33" i="28" s="1"/>
  <c r="G38" i="20"/>
  <c r="B39" i="20"/>
  <c r="E39" i="20"/>
  <c r="F39" i="20" s="1"/>
  <c r="H38" i="20"/>
  <c r="B29" i="34"/>
  <c r="F29" i="34"/>
  <c r="H29" i="34" s="1"/>
  <c r="H35" i="19"/>
  <c r="I35" i="19" s="1"/>
  <c r="B32" i="26"/>
  <c r="F32" i="26"/>
  <c r="G32" i="26" s="1"/>
  <c r="B33" i="27"/>
  <c r="F33" i="27"/>
  <c r="H33" i="27" s="1"/>
  <c r="F33" i="23"/>
  <c r="H33" i="23" s="1"/>
  <c r="B33" i="23"/>
  <c r="J110" i="31"/>
  <c r="I27" i="37"/>
  <c r="H36" i="4"/>
  <c r="I36" i="4" s="1"/>
  <c r="H33" i="21"/>
  <c r="I33" i="21" s="1"/>
  <c r="D38" i="3"/>
  <c r="E38" i="3"/>
  <c r="B28" i="37"/>
  <c r="F28" i="37"/>
  <c r="G28" i="37" s="1"/>
  <c r="J113" i="26"/>
  <c r="J109" i="37"/>
  <c r="H37" i="3"/>
  <c r="I37" i="3" s="1"/>
  <c r="D37" i="4"/>
  <c r="E37" i="4"/>
  <c r="D34" i="21"/>
  <c r="E34" i="21"/>
  <c r="B29" i="35"/>
  <c r="F29" i="35"/>
  <c r="G29" i="35" s="1"/>
  <c r="B32" i="22"/>
  <c r="F32" i="22"/>
  <c r="D33" i="22" s="1"/>
  <c r="F31" i="13"/>
  <c r="G31" i="13" s="1"/>
  <c r="B31" i="13"/>
  <c r="F31" i="25"/>
  <c r="G31" i="25" s="1"/>
  <c r="B31" i="25"/>
  <c r="H35" i="18"/>
  <c r="I35" i="18" s="1"/>
  <c r="J116" i="18"/>
  <c r="E118" i="18"/>
  <c r="D118" i="18"/>
  <c r="G117" i="18"/>
  <c r="D119" i="4"/>
  <c r="E119" i="4"/>
  <c r="G118" i="4"/>
  <c r="G114" i="26"/>
  <c r="D115" i="26"/>
  <c r="E115" i="26"/>
  <c r="F114" i="25"/>
  <c r="B114" i="25"/>
  <c r="E112" i="31"/>
  <c r="G111" i="31"/>
  <c r="D112" i="31"/>
  <c r="D112" i="35"/>
  <c r="E112" i="35"/>
  <c r="G111" i="35"/>
  <c r="I113" i="25"/>
  <c r="H113" i="25"/>
  <c r="E111" i="37"/>
  <c r="G110" i="37"/>
  <c r="D111" i="37"/>
  <c r="J114" i="28"/>
  <c r="J110" i="38"/>
  <c r="G115" i="28"/>
  <c r="E116" i="28"/>
  <c r="D116" i="28"/>
  <c r="J110" i="35"/>
  <c r="J114" i="27"/>
  <c r="D112" i="34"/>
  <c r="G111" i="34"/>
  <c r="E112" i="34"/>
  <c r="J114" i="21"/>
  <c r="G115" i="21"/>
  <c r="D116" i="21"/>
  <c r="E116" i="21"/>
  <c r="G115" i="27"/>
  <c r="D116" i="27"/>
  <c r="E116" i="27"/>
  <c r="G115" i="24"/>
  <c r="D116" i="24"/>
  <c r="E116" i="24"/>
  <c r="B118" i="19"/>
  <c r="F118" i="19"/>
  <c r="H117" i="19"/>
  <c r="I117" i="19"/>
  <c r="J115" i="29"/>
  <c r="D117" i="29"/>
  <c r="G116" i="29"/>
  <c r="E117" i="29"/>
  <c r="D112" i="38"/>
  <c r="G111" i="38"/>
  <c r="J114" i="24"/>
  <c r="J110" i="34"/>
  <c r="H118" i="3"/>
  <c r="I118" i="3"/>
  <c r="B119" i="3"/>
  <c r="F119" i="3"/>
  <c r="B112" i="20"/>
  <c r="F120" i="23"/>
  <c r="I111" i="20"/>
  <c r="H111" i="20"/>
  <c r="F115" i="22"/>
  <c r="B115" i="22"/>
  <c r="H119" i="23"/>
  <c r="I119" i="23"/>
  <c r="H114" i="22"/>
  <c r="I114" i="22"/>
  <c r="E112" i="20"/>
  <c r="F112" i="20" s="1"/>
  <c r="B34" i="24" l="1"/>
  <c r="F34" i="24"/>
  <c r="H34" i="24" s="1"/>
  <c r="H28" i="37"/>
  <c r="I28" i="37" s="1"/>
  <c r="H111" i="13"/>
  <c r="I111" i="13"/>
  <c r="E112" i="13"/>
  <c r="F112" i="13" s="1"/>
  <c r="B112" i="13"/>
  <c r="H31" i="25"/>
  <c r="I31" i="25" s="1"/>
  <c r="G32" i="22"/>
  <c r="H32" i="22"/>
  <c r="G27" i="38"/>
  <c r="I27" i="38" s="1"/>
  <c r="G33" i="23"/>
  <c r="I33" i="23" s="1"/>
  <c r="I38" i="20"/>
  <c r="H29" i="35"/>
  <c r="I29" i="35" s="1"/>
  <c r="G33" i="28"/>
  <c r="I33" i="28" s="1"/>
  <c r="J119" i="23"/>
  <c r="F34" i="21"/>
  <c r="H34" i="21" s="1"/>
  <c r="B34" i="21"/>
  <c r="D33" i="26"/>
  <c r="E33" i="26"/>
  <c r="G29" i="34"/>
  <c r="I29" i="34" s="1"/>
  <c r="D32" i="25"/>
  <c r="E32" i="25"/>
  <c r="F37" i="4"/>
  <c r="H37" i="4" s="1"/>
  <c r="B37" i="4"/>
  <c r="E40" i="20"/>
  <c r="F40" i="20" s="1"/>
  <c r="B40" i="20"/>
  <c r="G39" i="20"/>
  <c r="H39" i="20"/>
  <c r="D31" i="29"/>
  <c r="E31" i="29"/>
  <c r="H31" i="13"/>
  <c r="I31" i="13" s="1"/>
  <c r="B38" i="3"/>
  <c r="F38" i="3"/>
  <c r="H38" i="3" s="1"/>
  <c r="D34" i="23"/>
  <c r="E34" i="23"/>
  <c r="H32" i="26"/>
  <c r="I32" i="26" s="1"/>
  <c r="G30" i="29"/>
  <c r="I30" i="29" s="1"/>
  <c r="D28" i="38"/>
  <c r="E28" i="38"/>
  <c r="G33" i="27"/>
  <c r="I33" i="27" s="1"/>
  <c r="H29" i="31"/>
  <c r="I29" i="31" s="1"/>
  <c r="D30" i="35"/>
  <c r="E30" i="35"/>
  <c r="D34" i="28"/>
  <c r="E34" i="28" s="1"/>
  <c r="B36" i="19"/>
  <c r="F36" i="19"/>
  <c r="G36" i="19" s="1"/>
  <c r="D32" i="13"/>
  <c r="E32" i="13" s="1"/>
  <c r="D34" i="27"/>
  <c r="E34" i="27"/>
  <c r="D30" i="34"/>
  <c r="E30" i="34"/>
  <c r="D30" i="31"/>
  <c r="E30" i="31"/>
  <c r="B33" i="22"/>
  <c r="F33" i="22"/>
  <c r="G33" i="22" s="1"/>
  <c r="D29" i="37"/>
  <c r="E29" i="37"/>
  <c r="B36" i="18"/>
  <c r="F36" i="18"/>
  <c r="H36" i="18" s="1"/>
  <c r="I118" i="4"/>
  <c r="H118" i="4"/>
  <c r="I117" i="18"/>
  <c r="H117" i="18"/>
  <c r="B119" i="4"/>
  <c r="F119" i="4"/>
  <c r="B118" i="18"/>
  <c r="F118" i="18"/>
  <c r="B111" i="37"/>
  <c r="F111" i="37"/>
  <c r="B112" i="31"/>
  <c r="F112" i="31"/>
  <c r="I110" i="37"/>
  <c r="H110" i="37"/>
  <c r="H111" i="31"/>
  <c r="I111" i="31"/>
  <c r="F116" i="28"/>
  <c r="B116" i="28"/>
  <c r="J113" i="25"/>
  <c r="G114" i="25"/>
  <c r="D115" i="25"/>
  <c r="E115" i="25"/>
  <c r="H115" i="28"/>
  <c r="I115" i="28"/>
  <c r="H111" i="35"/>
  <c r="I111" i="35"/>
  <c r="B115" i="26"/>
  <c r="F115" i="26"/>
  <c r="J114" i="22"/>
  <c r="B112" i="35"/>
  <c r="F112" i="35"/>
  <c r="H114" i="26"/>
  <c r="I114" i="26"/>
  <c r="J118" i="3"/>
  <c r="J117" i="19"/>
  <c r="F117" i="29"/>
  <c r="D118" i="29" s="1"/>
  <c r="E118" i="29" s="1"/>
  <c r="B112" i="38"/>
  <c r="B116" i="24"/>
  <c r="F116" i="24"/>
  <c r="F116" i="21"/>
  <c r="B116" i="21"/>
  <c r="I115" i="24"/>
  <c r="H115" i="24"/>
  <c r="I115" i="21"/>
  <c r="H115" i="21"/>
  <c r="H111" i="38"/>
  <c r="I111" i="38"/>
  <c r="J111" i="20"/>
  <c r="E119" i="19"/>
  <c r="D119" i="19"/>
  <c r="G118" i="19"/>
  <c r="I115" i="27"/>
  <c r="H115" i="27"/>
  <c r="I111" i="34"/>
  <c r="H111" i="34"/>
  <c r="E112" i="38"/>
  <c r="F112" i="38" s="1"/>
  <c r="I116" i="29"/>
  <c r="H116" i="29"/>
  <c r="F116" i="27"/>
  <c r="B116" i="27"/>
  <c r="F112" i="34"/>
  <c r="B112" i="34"/>
  <c r="D113" i="20"/>
  <c r="E113" i="20" s="1"/>
  <c r="G112" i="20"/>
  <c r="G119" i="3"/>
  <c r="D120" i="3"/>
  <c r="E120" i="3"/>
  <c r="G120" i="23"/>
  <c r="D121" i="23"/>
  <c r="E121" i="23" s="1"/>
  <c r="D116" i="22"/>
  <c r="G115" i="22"/>
  <c r="E116" i="22"/>
  <c r="G34" i="24" l="1"/>
  <c r="I34" i="24" s="1"/>
  <c r="D35" i="24"/>
  <c r="E35" i="24"/>
  <c r="J114" i="26"/>
  <c r="I32" i="22"/>
  <c r="G34" i="21"/>
  <c r="I34" i="21" s="1"/>
  <c r="J111" i="13"/>
  <c r="J111" i="38"/>
  <c r="D113" i="13"/>
  <c r="B113" i="13" s="1"/>
  <c r="G112" i="13"/>
  <c r="H36" i="19"/>
  <c r="I36" i="19" s="1"/>
  <c r="G36" i="18"/>
  <c r="I36" i="18" s="1"/>
  <c r="I39" i="20"/>
  <c r="B30" i="31"/>
  <c r="F30" i="31"/>
  <c r="H30" i="31" s="1"/>
  <c r="F31" i="29"/>
  <c r="D38" i="4"/>
  <c r="E38" i="4"/>
  <c r="B29" i="37"/>
  <c r="F29" i="37"/>
  <c r="G29" i="37" s="1"/>
  <c r="B30" i="34"/>
  <c r="F30" i="34"/>
  <c r="H30" i="34" s="1"/>
  <c r="B34" i="23"/>
  <c r="F34" i="23"/>
  <c r="G34" i="23" s="1"/>
  <c r="J111" i="35"/>
  <c r="D34" i="22"/>
  <c r="E34" i="22"/>
  <c r="B34" i="27"/>
  <c r="F34" i="27"/>
  <c r="H34" i="27" s="1"/>
  <c r="F34" i="28"/>
  <c r="G34" i="28" s="1"/>
  <c r="B34" i="28"/>
  <c r="D39" i="3"/>
  <c r="E39" i="3"/>
  <c r="B32" i="25"/>
  <c r="F32" i="25"/>
  <c r="H32" i="25" s="1"/>
  <c r="D35" i="21"/>
  <c r="E35" i="21"/>
  <c r="J115" i="28"/>
  <c r="J111" i="31"/>
  <c r="D37" i="18"/>
  <c r="E37" i="18"/>
  <c r="H33" i="22"/>
  <c r="I33" i="22" s="1"/>
  <c r="H40" i="20"/>
  <c r="B41" i="20"/>
  <c r="E41" i="20"/>
  <c r="F41" i="20" s="1"/>
  <c r="G40" i="20"/>
  <c r="F32" i="13"/>
  <c r="H32" i="13" s="1"/>
  <c r="B32" i="13"/>
  <c r="B30" i="35"/>
  <c r="F30" i="35"/>
  <c r="H30" i="35" s="1"/>
  <c r="B28" i="38"/>
  <c r="F28" i="38"/>
  <c r="H28" i="38" s="1"/>
  <c r="G38" i="3"/>
  <c r="I38" i="3" s="1"/>
  <c r="G37" i="4"/>
  <c r="I37" i="4" s="1"/>
  <c r="D37" i="19"/>
  <c r="E37" i="19"/>
  <c r="B33" i="26"/>
  <c r="F33" i="26"/>
  <c r="G33" i="26" s="1"/>
  <c r="G119" i="4"/>
  <c r="E120" i="4"/>
  <c r="D120" i="4"/>
  <c r="J117" i="18"/>
  <c r="G118" i="18"/>
  <c r="D119" i="18"/>
  <c r="E119" i="18"/>
  <c r="J115" i="21"/>
  <c r="J118" i="4"/>
  <c r="D113" i="35"/>
  <c r="E113" i="35"/>
  <c r="G112" i="35"/>
  <c r="J115" i="24"/>
  <c r="B115" i="25"/>
  <c r="F115" i="25"/>
  <c r="J110" i="37"/>
  <c r="E116" i="26"/>
  <c r="G115" i="26"/>
  <c r="D116" i="26"/>
  <c r="I114" i="25"/>
  <c r="H114" i="25"/>
  <c r="D113" i="31"/>
  <c r="E113" i="31"/>
  <c r="G112" i="31"/>
  <c r="G117" i="29"/>
  <c r="H117" i="29" s="1"/>
  <c r="D112" i="37"/>
  <c r="G111" i="37"/>
  <c r="E112" i="37"/>
  <c r="E117" i="28"/>
  <c r="G116" i="28"/>
  <c r="D117" i="28"/>
  <c r="J115" i="27"/>
  <c r="D113" i="38"/>
  <c r="E113" i="38" s="1"/>
  <c r="G112" i="38"/>
  <c r="G116" i="21"/>
  <c r="D117" i="21"/>
  <c r="E117" i="21"/>
  <c r="G116" i="27"/>
  <c r="D117" i="27"/>
  <c r="E117" i="27"/>
  <c r="H118" i="19"/>
  <c r="I118" i="19"/>
  <c r="G116" i="24"/>
  <c r="D117" i="24"/>
  <c r="E117" i="24"/>
  <c r="F119" i="19"/>
  <c r="B119" i="19"/>
  <c r="F118" i="29"/>
  <c r="J116" i="29"/>
  <c r="J111" i="34"/>
  <c r="D113" i="34"/>
  <c r="G112" i="34"/>
  <c r="E113" i="34"/>
  <c r="H115" i="22"/>
  <c r="I115" i="22"/>
  <c r="H119" i="3"/>
  <c r="I119" i="3"/>
  <c r="F120" i="3"/>
  <c r="B120" i="3"/>
  <c r="B116" i="22"/>
  <c r="F116" i="22"/>
  <c r="F121" i="23"/>
  <c r="H120" i="23"/>
  <c r="I120" i="23"/>
  <c r="H112" i="20"/>
  <c r="I112" i="20"/>
  <c r="B113" i="20"/>
  <c r="F113" i="20"/>
  <c r="B35" i="24" l="1"/>
  <c r="F35" i="24"/>
  <c r="G35" i="24" s="1"/>
  <c r="I117" i="29"/>
  <c r="J117" i="29" s="1"/>
  <c r="E113" i="13"/>
  <c r="F113" i="13" s="1"/>
  <c r="H112" i="13"/>
  <c r="I112" i="13"/>
  <c r="H34" i="23"/>
  <c r="I34" i="23" s="1"/>
  <c r="H34" i="28"/>
  <c r="I34" i="28" s="1"/>
  <c r="G30" i="34"/>
  <c r="I30" i="34" s="1"/>
  <c r="G34" i="27"/>
  <c r="I34" i="27" s="1"/>
  <c r="D34" i="26"/>
  <c r="E34" i="26"/>
  <c r="D29" i="38"/>
  <c r="E29" i="38"/>
  <c r="D33" i="13"/>
  <c r="B37" i="18"/>
  <c r="F37" i="18"/>
  <c r="D30" i="37"/>
  <c r="E30" i="37"/>
  <c r="G32" i="13"/>
  <c r="I32" i="13" s="1"/>
  <c r="D35" i="27"/>
  <c r="E35" i="27"/>
  <c r="J115" i="22"/>
  <c r="B39" i="3"/>
  <c r="F39" i="3"/>
  <c r="H39" i="3" s="1"/>
  <c r="D31" i="31"/>
  <c r="E31" i="31"/>
  <c r="F37" i="19"/>
  <c r="H37" i="19" s="1"/>
  <c r="B37" i="19"/>
  <c r="D31" i="35"/>
  <c r="E31" i="35"/>
  <c r="E42" i="20"/>
  <c r="F42" i="20" s="1"/>
  <c r="H41" i="20"/>
  <c r="B42" i="20"/>
  <c r="G41" i="20"/>
  <c r="F38" i="4"/>
  <c r="G38" i="4" s="1"/>
  <c r="B38" i="4"/>
  <c r="G30" i="31"/>
  <c r="I30" i="31" s="1"/>
  <c r="G30" i="35"/>
  <c r="I30" i="35" s="1"/>
  <c r="B35" i="21"/>
  <c r="F35" i="21"/>
  <c r="G35" i="21" s="1"/>
  <c r="B34" i="22"/>
  <c r="F34" i="22"/>
  <c r="H34" i="22" s="1"/>
  <c r="D31" i="34"/>
  <c r="E31" i="34"/>
  <c r="D32" i="29"/>
  <c r="E32" i="29"/>
  <c r="I40" i="20"/>
  <c r="D33" i="25"/>
  <c r="E33" i="25"/>
  <c r="G31" i="29"/>
  <c r="H33" i="26"/>
  <c r="I33" i="26" s="1"/>
  <c r="G28" i="38"/>
  <c r="I28" i="38" s="1"/>
  <c r="G32" i="25"/>
  <c r="I32" i="25" s="1"/>
  <c r="D35" i="28"/>
  <c r="E35" i="28"/>
  <c r="D35" i="23"/>
  <c r="E35" i="23"/>
  <c r="H29" i="37"/>
  <c r="I29" i="37" s="1"/>
  <c r="H31" i="29"/>
  <c r="I118" i="18"/>
  <c r="H118" i="18"/>
  <c r="F120" i="4"/>
  <c r="B120" i="4"/>
  <c r="B119" i="18"/>
  <c r="F119" i="18"/>
  <c r="H119" i="4"/>
  <c r="I119" i="4"/>
  <c r="I112" i="31"/>
  <c r="H112" i="31"/>
  <c r="B117" i="28"/>
  <c r="F117" i="28"/>
  <c r="G115" i="25"/>
  <c r="D116" i="25"/>
  <c r="E116" i="25"/>
  <c r="H116" i="28"/>
  <c r="I116" i="28"/>
  <c r="B113" i="31"/>
  <c r="F113" i="31"/>
  <c r="J114" i="25"/>
  <c r="I112" i="35"/>
  <c r="H112" i="35"/>
  <c r="I111" i="37"/>
  <c r="H111" i="37"/>
  <c r="F116" i="26"/>
  <c r="B116" i="26"/>
  <c r="F112" i="37"/>
  <c r="B112" i="37"/>
  <c r="I115" i="26"/>
  <c r="H115" i="26"/>
  <c r="B113" i="35"/>
  <c r="F113" i="35"/>
  <c r="J120" i="23"/>
  <c r="H112" i="34"/>
  <c r="I112" i="34"/>
  <c r="H112" i="38"/>
  <c r="I112" i="38"/>
  <c r="D119" i="29"/>
  <c r="E119" i="29" s="1"/>
  <c r="G118" i="29"/>
  <c r="B117" i="24"/>
  <c r="F117" i="24"/>
  <c r="B117" i="27"/>
  <c r="F117" i="27"/>
  <c r="H116" i="24"/>
  <c r="I116" i="24"/>
  <c r="I116" i="27"/>
  <c r="H116" i="27"/>
  <c r="B113" i="38"/>
  <c r="F113" i="38"/>
  <c r="B113" i="34"/>
  <c r="F113" i="34"/>
  <c r="J119" i="3"/>
  <c r="F117" i="21"/>
  <c r="B117" i="21"/>
  <c r="D120" i="19"/>
  <c r="G119" i="19"/>
  <c r="E120" i="19"/>
  <c r="J118" i="19"/>
  <c r="H116" i="21"/>
  <c r="I116" i="21"/>
  <c r="G120" i="3"/>
  <c r="D121" i="3"/>
  <c r="E121" i="3"/>
  <c r="D122" i="23"/>
  <c r="E122" i="23" s="1"/>
  <c r="G121" i="23"/>
  <c r="D114" i="20"/>
  <c r="E114" i="20" s="1"/>
  <c r="G113" i="20"/>
  <c r="G116" i="22"/>
  <c r="E117" i="22"/>
  <c r="D117" i="22"/>
  <c r="J112" i="20"/>
  <c r="G37" i="19" l="1"/>
  <c r="I37" i="19" s="1"/>
  <c r="H35" i="24"/>
  <c r="I35" i="24" s="1"/>
  <c r="D36" i="24"/>
  <c r="E36" i="24"/>
  <c r="J112" i="13"/>
  <c r="J119" i="4"/>
  <c r="D114" i="13"/>
  <c r="G113" i="13"/>
  <c r="I31" i="29"/>
  <c r="I41" i="20"/>
  <c r="H38" i="4"/>
  <c r="I38" i="4" s="1"/>
  <c r="B33" i="13"/>
  <c r="F35" i="23"/>
  <c r="B35" i="23"/>
  <c r="D35" i="22"/>
  <c r="E35" i="22"/>
  <c r="B33" i="25"/>
  <c r="F33" i="25"/>
  <c r="H33" i="25" s="1"/>
  <c r="G42" i="20"/>
  <c r="E43" i="20"/>
  <c r="F43" i="20" s="1"/>
  <c r="B43" i="20"/>
  <c r="H42" i="20"/>
  <c r="F31" i="31"/>
  <c r="H31" i="31" s="1"/>
  <c r="B31" i="31"/>
  <c r="F30" i="37"/>
  <c r="G30" i="37" s="1"/>
  <c r="B30" i="37"/>
  <c r="B29" i="38"/>
  <c r="F29" i="38"/>
  <c r="F35" i="28"/>
  <c r="H35" i="28" s="1"/>
  <c r="B35" i="28"/>
  <c r="G34" i="22"/>
  <c r="I34" i="22" s="1"/>
  <c r="F35" i="27"/>
  <c r="H35" i="27" s="1"/>
  <c r="B35" i="27"/>
  <c r="D38" i="18"/>
  <c r="E38" i="18"/>
  <c r="H35" i="21"/>
  <c r="I35" i="21" s="1"/>
  <c r="B31" i="35"/>
  <c r="F31" i="35"/>
  <c r="G31" i="35" s="1"/>
  <c r="D40" i="3"/>
  <c r="E40" i="3"/>
  <c r="H37" i="18"/>
  <c r="J118" i="18"/>
  <c r="F32" i="29"/>
  <c r="D39" i="4"/>
  <c r="E39" i="4"/>
  <c r="G39" i="3"/>
  <c r="I39" i="3" s="1"/>
  <c r="G37" i="18"/>
  <c r="F34" i="26"/>
  <c r="G34" i="26" s="1"/>
  <c r="B34" i="26"/>
  <c r="D36" i="21"/>
  <c r="E36" i="21"/>
  <c r="F31" i="34"/>
  <c r="G31" i="34" s="1"/>
  <c r="B31" i="34"/>
  <c r="D38" i="19"/>
  <c r="E38" i="19"/>
  <c r="E33" i="13"/>
  <c r="F33" i="13" s="1"/>
  <c r="J111" i="37"/>
  <c r="G119" i="18"/>
  <c r="D120" i="18"/>
  <c r="E120" i="18"/>
  <c r="E121" i="4"/>
  <c r="G120" i="4"/>
  <c r="D121" i="4"/>
  <c r="G113" i="35"/>
  <c r="D114" i="35"/>
  <c r="E114" i="35"/>
  <c r="B116" i="25"/>
  <c r="F116" i="25"/>
  <c r="J116" i="24"/>
  <c r="J115" i="26"/>
  <c r="J112" i="35"/>
  <c r="H115" i="25"/>
  <c r="I115" i="25"/>
  <c r="E118" i="28"/>
  <c r="G117" i="28"/>
  <c r="D118" i="28"/>
  <c r="D113" i="37"/>
  <c r="E113" i="37"/>
  <c r="G112" i="37"/>
  <c r="G113" i="31"/>
  <c r="E114" i="31"/>
  <c r="D114" i="31"/>
  <c r="G116" i="26"/>
  <c r="D117" i="26"/>
  <c r="E117" i="26"/>
  <c r="J116" i="28"/>
  <c r="J112" i="31"/>
  <c r="H119" i="19"/>
  <c r="I119" i="19"/>
  <c r="F120" i="19"/>
  <c r="B120" i="19"/>
  <c r="J116" i="27"/>
  <c r="H118" i="29"/>
  <c r="I118" i="29"/>
  <c r="J112" i="34"/>
  <c r="D118" i="24"/>
  <c r="G117" i="24"/>
  <c r="E118" i="24"/>
  <c r="G117" i="21"/>
  <c r="D118" i="21"/>
  <c r="E118" i="21"/>
  <c r="F119" i="29"/>
  <c r="D114" i="38"/>
  <c r="G113" i="38"/>
  <c r="J116" i="21"/>
  <c r="J112" i="38"/>
  <c r="D114" i="34"/>
  <c r="G113" i="34"/>
  <c r="E114" i="34"/>
  <c r="D118" i="27"/>
  <c r="G117" i="27"/>
  <c r="E118" i="27"/>
  <c r="B121" i="3"/>
  <c r="F121" i="3"/>
  <c r="I113" i="20"/>
  <c r="H113" i="20"/>
  <c r="H120" i="3"/>
  <c r="I120" i="3"/>
  <c r="F122" i="23"/>
  <c r="F117" i="22"/>
  <c r="B117" i="22"/>
  <c r="B114" i="20"/>
  <c r="F114" i="20"/>
  <c r="I116" i="22"/>
  <c r="H116" i="22"/>
  <c r="H121" i="23"/>
  <c r="I121" i="23"/>
  <c r="B36" i="24" l="1"/>
  <c r="F36" i="24"/>
  <c r="G36" i="24" s="1"/>
  <c r="H113" i="13"/>
  <c r="I113" i="13"/>
  <c r="J115" i="25"/>
  <c r="E114" i="13"/>
  <c r="F114" i="13" s="1"/>
  <c r="B114" i="13"/>
  <c r="H34" i="26"/>
  <c r="I34" i="26" s="1"/>
  <c r="H31" i="35"/>
  <c r="I31" i="35" s="1"/>
  <c r="D34" i="13"/>
  <c r="E34" i="13" s="1"/>
  <c r="H33" i="13"/>
  <c r="G33" i="13"/>
  <c r="D33" i="29"/>
  <c r="E33" i="29"/>
  <c r="D30" i="38"/>
  <c r="E30" i="38"/>
  <c r="E36" i="23"/>
  <c r="D36" i="23"/>
  <c r="D32" i="34"/>
  <c r="E32" i="34"/>
  <c r="H32" i="29"/>
  <c r="G29" i="38"/>
  <c r="D32" i="31"/>
  <c r="E32" i="31"/>
  <c r="D34" i="25"/>
  <c r="E34" i="25"/>
  <c r="H31" i="34"/>
  <c r="I31" i="34" s="1"/>
  <c r="I37" i="18"/>
  <c r="I42" i="20"/>
  <c r="F38" i="18"/>
  <c r="G38" i="18" s="1"/>
  <c r="B38" i="18"/>
  <c r="G35" i="28"/>
  <c r="I35" i="28" s="1"/>
  <c r="H30" i="37"/>
  <c r="I30" i="37" s="1"/>
  <c r="B35" i="22"/>
  <c r="F35" i="22"/>
  <c r="G35" i="22" s="1"/>
  <c r="B36" i="21"/>
  <c r="F36" i="21"/>
  <c r="H36" i="21" s="1"/>
  <c r="B40" i="3"/>
  <c r="F40" i="3"/>
  <c r="H40" i="3" s="1"/>
  <c r="E44" i="20"/>
  <c r="F44" i="20" s="1"/>
  <c r="B44" i="20"/>
  <c r="H43" i="20"/>
  <c r="G43" i="20"/>
  <c r="H35" i="23"/>
  <c r="F39" i="4"/>
  <c r="H39" i="4" s="1"/>
  <c r="B39" i="4"/>
  <c r="D36" i="27"/>
  <c r="E36" i="27"/>
  <c r="D36" i="28"/>
  <c r="E36" i="28" s="1"/>
  <c r="D31" i="37"/>
  <c r="E31" i="37"/>
  <c r="F38" i="19"/>
  <c r="H38" i="19" s="1"/>
  <c r="B38" i="19"/>
  <c r="D35" i="26"/>
  <c r="E35" i="26"/>
  <c r="G32" i="29"/>
  <c r="D32" i="35"/>
  <c r="E32" i="35"/>
  <c r="G35" i="27"/>
  <c r="I35" i="27" s="1"/>
  <c r="H29" i="38"/>
  <c r="G31" i="31"/>
  <c r="I31" i="31" s="1"/>
  <c r="G33" i="25"/>
  <c r="I33" i="25" s="1"/>
  <c r="G35" i="23"/>
  <c r="F121" i="4"/>
  <c r="B121" i="4"/>
  <c r="J120" i="3"/>
  <c r="F120" i="18"/>
  <c r="B120" i="18"/>
  <c r="I119" i="18"/>
  <c r="H119" i="18"/>
  <c r="H120" i="4"/>
  <c r="I120" i="4"/>
  <c r="F113" i="37"/>
  <c r="B113" i="37"/>
  <c r="B117" i="26"/>
  <c r="F117" i="26"/>
  <c r="F118" i="28"/>
  <c r="B118" i="28"/>
  <c r="D117" i="25"/>
  <c r="E117" i="25"/>
  <c r="G116" i="25"/>
  <c r="H116" i="26"/>
  <c r="I116" i="26"/>
  <c r="I117" i="28"/>
  <c r="H117" i="28"/>
  <c r="B114" i="31"/>
  <c r="F114" i="31"/>
  <c r="B114" i="35"/>
  <c r="F114" i="35"/>
  <c r="H113" i="31"/>
  <c r="I113" i="31"/>
  <c r="H113" i="35"/>
  <c r="I113" i="35"/>
  <c r="I112" i="37"/>
  <c r="H112" i="37"/>
  <c r="H113" i="34"/>
  <c r="I113" i="34"/>
  <c r="F114" i="34"/>
  <c r="B114" i="34"/>
  <c r="D120" i="29"/>
  <c r="E120" i="29" s="1"/>
  <c r="G119" i="29"/>
  <c r="J118" i="29"/>
  <c r="D121" i="19"/>
  <c r="E121" i="19" s="1"/>
  <c r="G120" i="19"/>
  <c r="B114" i="38"/>
  <c r="E114" i="38"/>
  <c r="F114" i="38" s="1"/>
  <c r="B118" i="21"/>
  <c r="F118" i="21"/>
  <c r="I117" i="21"/>
  <c r="H117" i="21"/>
  <c r="H117" i="27"/>
  <c r="I117" i="27"/>
  <c r="B118" i="24"/>
  <c r="F118" i="24"/>
  <c r="J121" i="23"/>
  <c r="F118" i="27"/>
  <c r="B118" i="27"/>
  <c r="H113" i="38"/>
  <c r="I113" i="38"/>
  <c r="H117" i="24"/>
  <c r="I117" i="24"/>
  <c r="J119" i="19"/>
  <c r="D115" i="20"/>
  <c r="G114" i="20"/>
  <c r="J113" i="20"/>
  <c r="E118" i="22"/>
  <c r="G117" i="22"/>
  <c r="D118" i="22"/>
  <c r="J116" i="22"/>
  <c r="D122" i="3"/>
  <c r="G121" i="3"/>
  <c r="G122" i="23"/>
  <c r="D123" i="23"/>
  <c r="I29" i="38" l="1"/>
  <c r="H36" i="24"/>
  <c r="I36" i="24" s="1"/>
  <c r="D37" i="24"/>
  <c r="E37" i="24"/>
  <c r="J113" i="13"/>
  <c r="J117" i="27"/>
  <c r="D115" i="13"/>
  <c r="G114" i="13"/>
  <c r="G36" i="21"/>
  <c r="I36" i="21" s="1"/>
  <c r="G39" i="4"/>
  <c r="I39" i="4" s="1"/>
  <c r="H38" i="18"/>
  <c r="I38" i="18" s="1"/>
  <c r="G40" i="3"/>
  <c r="I40" i="3" s="1"/>
  <c r="F36" i="27"/>
  <c r="H36" i="27" s="1"/>
  <c r="B36" i="27"/>
  <c r="F33" i="29"/>
  <c r="G33" i="29" s="1"/>
  <c r="B45" i="20"/>
  <c r="H44" i="20"/>
  <c r="E45" i="20"/>
  <c r="F45" i="20" s="1"/>
  <c r="G44" i="20"/>
  <c r="F32" i="34"/>
  <c r="G32" i="34" s="1"/>
  <c r="B32" i="34"/>
  <c r="B35" i="26"/>
  <c r="F35" i="26"/>
  <c r="G35" i="26" s="1"/>
  <c r="B34" i="25"/>
  <c r="F34" i="25"/>
  <c r="H34" i="25" s="1"/>
  <c r="B36" i="23"/>
  <c r="F36" i="23"/>
  <c r="H36" i="23" s="1"/>
  <c r="J113" i="35"/>
  <c r="J119" i="18"/>
  <c r="G38" i="19"/>
  <c r="I38" i="19" s="1"/>
  <c r="D39" i="18"/>
  <c r="E39" i="18"/>
  <c r="F31" i="37"/>
  <c r="H31" i="37" s="1"/>
  <c r="B31" i="37"/>
  <c r="D40" i="4"/>
  <c r="E40" i="4"/>
  <c r="D41" i="3"/>
  <c r="E41" i="3"/>
  <c r="D36" i="22"/>
  <c r="E36" i="22"/>
  <c r="B32" i="31"/>
  <c r="F32" i="31"/>
  <c r="H32" i="31" s="1"/>
  <c r="I33" i="13"/>
  <c r="J113" i="38"/>
  <c r="J113" i="31"/>
  <c r="J116" i="26"/>
  <c r="I35" i="23"/>
  <c r="F30" i="38"/>
  <c r="H30" i="38" s="1"/>
  <c r="B30" i="38"/>
  <c r="B34" i="13"/>
  <c r="F34" i="13"/>
  <c r="H34" i="13" s="1"/>
  <c r="D39" i="19"/>
  <c r="E39" i="19"/>
  <c r="B36" i="28"/>
  <c r="F36" i="28"/>
  <c r="G36" i="28" s="1"/>
  <c r="H35" i="22"/>
  <c r="I35" i="22" s="1"/>
  <c r="I32" i="29"/>
  <c r="J113" i="34"/>
  <c r="F32" i="35"/>
  <c r="H32" i="35" s="1"/>
  <c r="B32" i="35"/>
  <c r="I43" i="20"/>
  <c r="D37" i="21"/>
  <c r="E37" i="21"/>
  <c r="J117" i="24"/>
  <c r="G120" i="18"/>
  <c r="D121" i="18"/>
  <c r="B121" i="18" s="1"/>
  <c r="J120" i="4"/>
  <c r="G121" i="4"/>
  <c r="D122" i="4"/>
  <c r="D115" i="31"/>
  <c r="G114" i="31"/>
  <c r="E115" i="31"/>
  <c r="F117" i="25"/>
  <c r="B117" i="25"/>
  <c r="J112" i="37"/>
  <c r="G118" i="28"/>
  <c r="E119" i="28"/>
  <c r="D119" i="28"/>
  <c r="J117" i="28"/>
  <c r="D118" i="26"/>
  <c r="G117" i="26"/>
  <c r="E118" i="26"/>
  <c r="G114" i="35"/>
  <c r="E115" i="35"/>
  <c r="D115" i="35"/>
  <c r="H116" i="25"/>
  <c r="I116" i="25"/>
  <c r="D114" i="37"/>
  <c r="G113" i="37"/>
  <c r="E114" i="37"/>
  <c r="J117" i="21"/>
  <c r="F121" i="19"/>
  <c r="B121" i="19"/>
  <c r="G114" i="34"/>
  <c r="D115" i="34"/>
  <c r="E115" i="34"/>
  <c r="G118" i="27"/>
  <c r="D119" i="27"/>
  <c r="E119" i="27"/>
  <c r="D115" i="38"/>
  <c r="E115" i="38" s="1"/>
  <c r="G114" i="38"/>
  <c r="G118" i="21"/>
  <c r="D119" i="21"/>
  <c r="E119" i="21"/>
  <c r="G118" i="24"/>
  <c r="D119" i="24"/>
  <c r="E119" i="24"/>
  <c r="I120" i="19"/>
  <c r="H120" i="19"/>
  <c r="F120" i="29"/>
  <c r="H119" i="29"/>
  <c r="I119" i="29"/>
  <c r="B118" i="22"/>
  <c r="F118" i="22"/>
  <c r="B122" i="3"/>
  <c r="B115" i="20"/>
  <c r="H122" i="23"/>
  <c r="I122" i="23"/>
  <c r="H121" i="3"/>
  <c r="I121" i="3"/>
  <c r="H114" i="20"/>
  <c r="I114" i="20"/>
  <c r="I117" i="22"/>
  <c r="H117" i="22"/>
  <c r="E123" i="23"/>
  <c r="F123" i="23" s="1"/>
  <c r="E122" i="3"/>
  <c r="F122" i="3" s="1"/>
  <c r="E115" i="20"/>
  <c r="F115" i="20" s="1"/>
  <c r="B37" i="24" l="1"/>
  <c r="F37" i="24"/>
  <c r="G37" i="24" s="1"/>
  <c r="H114" i="13"/>
  <c r="I114" i="13"/>
  <c r="E115" i="13"/>
  <c r="F115" i="13" s="1"/>
  <c r="B115" i="13"/>
  <c r="G36" i="27"/>
  <c r="I36" i="27" s="1"/>
  <c r="G32" i="31"/>
  <c r="I32" i="31" s="1"/>
  <c r="G30" i="38"/>
  <c r="I30" i="38" s="1"/>
  <c r="H32" i="34"/>
  <c r="I32" i="34" s="1"/>
  <c r="G34" i="13"/>
  <c r="I34" i="13" s="1"/>
  <c r="G31" i="37"/>
  <c r="I31" i="37" s="1"/>
  <c r="F37" i="21"/>
  <c r="G37" i="21" s="1"/>
  <c r="B37" i="21"/>
  <c r="G34" i="25"/>
  <c r="I34" i="25" s="1"/>
  <c r="D33" i="34"/>
  <c r="E33" i="34"/>
  <c r="D35" i="13"/>
  <c r="E37" i="23"/>
  <c r="D37" i="23"/>
  <c r="G32" i="35"/>
  <c r="I32" i="35" s="1"/>
  <c r="D37" i="28"/>
  <c r="E37" i="28" s="1"/>
  <c r="B36" i="22"/>
  <c r="F36" i="22"/>
  <c r="D32" i="37"/>
  <c r="E32" i="37"/>
  <c r="D36" i="26"/>
  <c r="E36" i="26"/>
  <c r="E46" i="20"/>
  <c r="F46" i="20" s="1"/>
  <c r="G45" i="20"/>
  <c r="H45" i="20"/>
  <c r="B46" i="20"/>
  <c r="G36" i="23"/>
  <c r="I36" i="23" s="1"/>
  <c r="I44" i="20"/>
  <c r="D37" i="27"/>
  <c r="E37" i="27"/>
  <c r="J122" i="23"/>
  <c r="H36" i="28"/>
  <c r="I36" i="28" s="1"/>
  <c r="F41" i="3"/>
  <c r="B41" i="3"/>
  <c r="F39" i="18"/>
  <c r="H39" i="18" s="1"/>
  <c r="B39" i="18"/>
  <c r="H35" i="26"/>
  <c r="I35" i="26" s="1"/>
  <c r="D33" i="35"/>
  <c r="E33" i="35"/>
  <c r="D35" i="25"/>
  <c r="E35" i="25"/>
  <c r="D34" i="29"/>
  <c r="E34" i="29"/>
  <c r="B39" i="19"/>
  <c r="F39" i="19"/>
  <c r="H39" i="19" s="1"/>
  <c r="D31" i="38"/>
  <c r="E31" i="38"/>
  <c r="D33" i="31"/>
  <c r="E33" i="31"/>
  <c r="F40" i="4"/>
  <c r="H40" i="4" s="1"/>
  <c r="B40" i="4"/>
  <c r="H33" i="29"/>
  <c r="I33" i="29" s="1"/>
  <c r="E122" i="4"/>
  <c r="F122" i="4" s="1"/>
  <c r="B122" i="4"/>
  <c r="H121" i="4"/>
  <c r="I121" i="4"/>
  <c r="J119" i="29"/>
  <c r="E121" i="18"/>
  <c r="F121" i="18" s="1"/>
  <c r="I120" i="18"/>
  <c r="H120" i="18"/>
  <c r="B115" i="35"/>
  <c r="F115" i="35"/>
  <c r="H118" i="28"/>
  <c r="I118" i="28"/>
  <c r="H114" i="35"/>
  <c r="I114" i="35"/>
  <c r="H113" i="37"/>
  <c r="I113" i="37"/>
  <c r="I117" i="26"/>
  <c r="H117" i="26"/>
  <c r="D118" i="25"/>
  <c r="G117" i="25"/>
  <c r="E118" i="25"/>
  <c r="B114" i="37"/>
  <c r="F114" i="37"/>
  <c r="F118" i="26"/>
  <c r="B118" i="26"/>
  <c r="J116" i="25"/>
  <c r="I114" i="31"/>
  <c r="H114" i="31"/>
  <c r="J121" i="3"/>
  <c r="B119" i="28"/>
  <c r="F119" i="28"/>
  <c r="F115" i="31"/>
  <c r="B115" i="31"/>
  <c r="H118" i="24"/>
  <c r="I118" i="24"/>
  <c r="H114" i="38"/>
  <c r="I114" i="38"/>
  <c r="B119" i="21"/>
  <c r="F119" i="21"/>
  <c r="I118" i="21"/>
  <c r="H118" i="21"/>
  <c r="H114" i="34"/>
  <c r="I114" i="34"/>
  <c r="B119" i="24"/>
  <c r="F119" i="24"/>
  <c r="B115" i="34"/>
  <c r="F115" i="34"/>
  <c r="F119" i="27"/>
  <c r="B119" i="27"/>
  <c r="D122" i="19"/>
  <c r="G121" i="19"/>
  <c r="J120" i="19"/>
  <c r="D121" i="29"/>
  <c r="G120" i="29"/>
  <c r="F115" i="38"/>
  <c r="B115" i="38"/>
  <c r="J114" i="20"/>
  <c r="I118" i="27"/>
  <c r="H118" i="27"/>
  <c r="G115" i="20"/>
  <c r="D116" i="20"/>
  <c r="E116" i="20" s="1"/>
  <c r="D123" i="3"/>
  <c r="E123" i="3" s="1"/>
  <c r="G122" i="3"/>
  <c r="G123" i="23"/>
  <c r="D124" i="23"/>
  <c r="E124" i="23" s="1"/>
  <c r="J117" i="22"/>
  <c r="G118" i="22"/>
  <c r="D119" i="22"/>
  <c r="H37" i="24" l="1"/>
  <c r="I37" i="24" s="1"/>
  <c r="E38" i="24"/>
  <c r="D38" i="24"/>
  <c r="H37" i="21"/>
  <c r="I37" i="21" s="1"/>
  <c r="J114" i="13"/>
  <c r="G115" i="13"/>
  <c r="D116" i="13"/>
  <c r="J114" i="35"/>
  <c r="J118" i="28"/>
  <c r="I45" i="20"/>
  <c r="G39" i="18"/>
  <c r="I39" i="18" s="1"/>
  <c r="J121" i="4"/>
  <c r="J120" i="18"/>
  <c r="D42" i="3"/>
  <c r="E42" i="3"/>
  <c r="F33" i="34"/>
  <c r="G33" i="34" s="1"/>
  <c r="B33" i="34"/>
  <c r="B31" i="38"/>
  <c r="F31" i="38"/>
  <c r="G31" i="38" s="1"/>
  <c r="B32" i="37"/>
  <c r="F32" i="37"/>
  <c r="G32" i="37" s="1"/>
  <c r="B37" i="23"/>
  <c r="F37" i="23"/>
  <c r="H37" i="23" s="1"/>
  <c r="D37" i="22"/>
  <c r="E37" i="22"/>
  <c r="D40" i="19"/>
  <c r="E40" i="19"/>
  <c r="F34" i="29"/>
  <c r="H36" i="22"/>
  <c r="B35" i="13"/>
  <c r="D41" i="4"/>
  <c r="E41" i="4"/>
  <c r="D40" i="18"/>
  <c r="E40" i="18"/>
  <c r="G36" i="22"/>
  <c r="E35" i="13"/>
  <c r="F35" i="13" s="1"/>
  <c r="G40" i="4"/>
  <c r="I40" i="4" s="1"/>
  <c r="G39" i="19"/>
  <c r="I39" i="19" s="1"/>
  <c r="B35" i="25"/>
  <c r="F35" i="25"/>
  <c r="H35" i="25" s="1"/>
  <c r="B37" i="27"/>
  <c r="F37" i="27"/>
  <c r="H37" i="27" s="1"/>
  <c r="G46" i="20"/>
  <c r="B47" i="20"/>
  <c r="H46" i="20"/>
  <c r="E47" i="20"/>
  <c r="F47" i="20" s="1"/>
  <c r="D38" i="21"/>
  <c r="E38" i="21"/>
  <c r="H41" i="3"/>
  <c r="F33" i="31"/>
  <c r="H33" i="31" s="1"/>
  <c r="B33" i="31"/>
  <c r="F33" i="35"/>
  <c r="B33" i="35"/>
  <c r="G41" i="3"/>
  <c r="B36" i="26"/>
  <c r="F36" i="26"/>
  <c r="G36" i="26" s="1"/>
  <c r="B37" i="28"/>
  <c r="F37" i="28"/>
  <c r="H37" i="28" s="1"/>
  <c r="G121" i="18"/>
  <c r="D122" i="18"/>
  <c r="J114" i="31"/>
  <c r="D123" i="4"/>
  <c r="G122" i="4"/>
  <c r="G119" i="28"/>
  <c r="D120" i="28"/>
  <c r="B120" i="28" s="1"/>
  <c r="E120" i="28"/>
  <c r="G114" i="37"/>
  <c r="E115" i="37"/>
  <c r="D115" i="37"/>
  <c r="I117" i="25"/>
  <c r="H117" i="25"/>
  <c r="F118" i="25"/>
  <c r="B118" i="25"/>
  <c r="J117" i="26"/>
  <c r="E116" i="35"/>
  <c r="G115" i="35"/>
  <c r="D116" i="35"/>
  <c r="J114" i="34"/>
  <c r="D116" i="31"/>
  <c r="G115" i="31"/>
  <c r="E116" i="31"/>
  <c r="D119" i="26"/>
  <c r="E119" i="26" s="1"/>
  <c r="G118" i="26"/>
  <c r="J113" i="37"/>
  <c r="G119" i="27"/>
  <c r="D120" i="27"/>
  <c r="E120" i="27" s="1"/>
  <c r="J118" i="21"/>
  <c r="B122" i="19"/>
  <c r="G115" i="34"/>
  <c r="D116" i="34"/>
  <c r="E116" i="34"/>
  <c r="D120" i="21"/>
  <c r="E120" i="21" s="1"/>
  <c r="G119" i="21"/>
  <c r="J118" i="27"/>
  <c r="G115" i="38"/>
  <c r="D116" i="38"/>
  <c r="E116" i="38" s="1"/>
  <c r="E122" i="19"/>
  <c r="F122" i="19" s="1"/>
  <c r="H120" i="29"/>
  <c r="I120" i="29"/>
  <c r="E121" i="29"/>
  <c r="F121" i="29" s="1"/>
  <c r="I121" i="19"/>
  <c r="H121" i="19"/>
  <c r="D120" i="24"/>
  <c r="G119" i="24"/>
  <c r="E120" i="24"/>
  <c r="J114" i="38"/>
  <c r="J118" i="24"/>
  <c r="H122" i="3"/>
  <c r="I122" i="3"/>
  <c r="B123" i="3"/>
  <c r="F123" i="3"/>
  <c r="B119" i="22"/>
  <c r="I118" i="22"/>
  <c r="H118" i="22"/>
  <c r="B116" i="20"/>
  <c r="F116" i="20"/>
  <c r="I123" i="23"/>
  <c r="H123" i="23"/>
  <c r="E119" i="22"/>
  <c r="F119" i="22" s="1"/>
  <c r="F124" i="23"/>
  <c r="I115" i="20"/>
  <c r="H115" i="20"/>
  <c r="I46" i="20" l="1"/>
  <c r="F38" i="24"/>
  <c r="G38" i="24" s="1"/>
  <c r="B38" i="24"/>
  <c r="F120" i="28"/>
  <c r="G120" i="28" s="1"/>
  <c r="E116" i="13"/>
  <c r="F116" i="13" s="1"/>
  <c r="B116" i="13"/>
  <c r="H115" i="13"/>
  <c r="I115" i="13"/>
  <c r="H31" i="38"/>
  <c r="I31" i="38" s="1"/>
  <c r="H33" i="34"/>
  <c r="I33" i="34" s="1"/>
  <c r="G33" i="31"/>
  <c r="I33" i="31" s="1"/>
  <c r="G37" i="27"/>
  <c r="I37" i="27" s="1"/>
  <c r="G35" i="25"/>
  <c r="I35" i="25" s="1"/>
  <c r="D36" i="13"/>
  <c r="E36" i="13" s="1"/>
  <c r="G35" i="13"/>
  <c r="H35" i="13"/>
  <c r="D34" i="35"/>
  <c r="E34" i="35"/>
  <c r="F40" i="19"/>
  <c r="H40" i="19" s="1"/>
  <c r="B40" i="19"/>
  <c r="D33" i="37"/>
  <c r="E33" i="37"/>
  <c r="D37" i="26"/>
  <c r="E37" i="26"/>
  <c r="B38" i="21"/>
  <c r="F38" i="21"/>
  <c r="G38" i="21" s="1"/>
  <c r="H47" i="20"/>
  <c r="E48" i="20"/>
  <c r="F48" i="20" s="1"/>
  <c r="G47" i="20"/>
  <c r="B48" i="20"/>
  <c r="B37" i="22"/>
  <c r="F37" i="22"/>
  <c r="H37" i="22" s="1"/>
  <c r="H32" i="37"/>
  <c r="I32" i="37" s="1"/>
  <c r="H36" i="26"/>
  <c r="I36" i="26" s="1"/>
  <c r="I36" i="22"/>
  <c r="D34" i="34"/>
  <c r="E34" i="34"/>
  <c r="D36" i="25"/>
  <c r="E36" i="25"/>
  <c r="B40" i="18"/>
  <c r="F40" i="18"/>
  <c r="D35" i="29"/>
  <c r="E35" i="29"/>
  <c r="D38" i="28"/>
  <c r="E38" i="28" s="1"/>
  <c r="G33" i="35"/>
  <c r="G34" i="29"/>
  <c r="D38" i="23"/>
  <c r="E38" i="23"/>
  <c r="B42" i="3"/>
  <c r="F42" i="3"/>
  <c r="G42" i="3" s="1"/>
  <c r="H33" i="35"/>
  <c r="D34" i="31"/>
  <c r="E34" i="31"/>
  <c r="B41" i="4"/>
  <c r="F41" i="4"/>
  <c r="H34" i="29"/>
  <c r="D32" i="38"/>
  <c r="E32" i="38"/>
  <c r="G37" i="28"/>
  <c r="I37" i="28" s="1"/>
  <c r="I41" i="3"/>
  <c r="D38" i="27"/>
  <c r="E38" i="27"/>
  <c r="G37" i="23"/>
  <c r="I37" i="23" s="1"/>
  <c r="H122" i="4"/>
  <c r="I122" i="4"/>
  <c r="J117" i="25"/>
  <c r="E123" i="4"/>
  <c r="F123" i="4" s="1"/>
  <c r="B123" i="4"/>
  <c r="E122" i="18"/>
  <c r="F122" i="18" s="1"/>
  <c r="B122" i="18"/>
  <c r="H121" i="18"/>
  <c r="I121" i="18"/>
  <c r="F116" i="31"/>
  <c r="B116" i="31"/>
  <c r="B116" i="35"/>
  <c r="F116" i="35"/>
  <c r="B115" i="37"/>
  <c r="F115" i="37"/>
  <c r="H115" i="35"/>
  <c r="I115" i="35"/>
  <c r="H118" i="26"/>
  <c r="I118" i="26"/>
  <c r="I114" i="37"/>
  <c r="H114" i="37"/>
  <c r="B119" i="26"/>
  <c r="F119" i="26"/>
  <c r="H115" i="31"/>
  <c r="I115" i="31"/>
  <c r="G118" i="25"/>
  <c r="D119" i="25"/>
  <c r="E119" i="25" s="1"/>
  <c r="I119" i="28"/>
  <c r="H119" i="28"/>
  <c r="J120" i="29"/>
  <c r="J121" i="19"/>
  <c r="G122" i="19"/>
  <c r="D123" i="19"/>
  <c r="E123" i="19" s="1"/>
  <c r="G121" i="29"/>
  <c r="D122" i="29"/>
  <c r="E122" i="29" s="1"/>
  <c r="F120" i="21"/>
  <c r="B120" i="21"/>
  <c r="H115" i="38"/>
  <c r="I115" i="38"/>
  <c r="I119" i="21"/>
  <c r="H119" i="21"/>
  <c r="H119" i="24"/>
  <c r="I119" i="24"/>
  <c r="B120" i="27"/>
  <c r="F120" i="27"/>
  <c r="F116" i="38"/>
  <c r="B116" i="38"/>
  <c r="J115" i="20"/>
  <c r="J122" i="3"/>
  <c r="B116" i="34"/>
  <c r="F116" i="34"/>
  <c r="H119" i="27"/>
  <c r="I119" i="27"/>
  <c r="B120" i="24"/>
  <c r="F120" i="24"/>
  <c r="I115" i="34"/>
  <c r="H115" i="34"/>
  <c r="G119" i="22"/>
  <c r="D120" i="22"/>
  <c r="E120" i="22" s="1"/>
  <c r="D125" i="23"/>
  <c r="G124" i="23"/>
  <c r="J123" i="23"/>
  <c r="J118" i="22"/>
  <c r="D124" i="3"/>
  <c r="E124" i="3" s="1"/>
  <c r="G123" i="3"/>
  <c r="G116" i="20"/>
  <c r="D117" i="20"/>
  <c r="D121" i="28" l="1"/>
  <c r="E121" i="28" s="1"/>
  <c r="H38" i="24"/>
  <c r="H38" i="21"/>
  <c r="I38" i="21" s="1"/>
  <c r="I38" i="24"/>
  <c r="D39" i="24"/>
  <c r="E39" i="24"/>
  <c r="I34" i="29"/>
  <c r="J115" i="35"/>
  <c r="J118" i="26"/>
  <c r="G37" i="22"/>
  <c r="I37" i="22" s="1"/>
  <c r="J115" i="31"/>
  <c r="D117" i="13"/>
  <c r="G116" i="13"/>
  <c r="J119" i="28"/>
  <c r="J115" i="13"/>
  <c r="I33" i="35"/>
  <c r="I35" i="13"/>
  <c r="I47" i="20"/>
  <c r="G40" i="19"/>
  <c r="I40" i="19" s="1"/>
  <c r="J121" i="18"/>
  <c r="D41" i="18"/>
  <c r="E41" i="18"/>
  <c r="B49" i="20"/>
  <c r="H48" i="20"/>
  <c r="G48" i="20"/>
  <c r="E49" i="20"/>
  <c r="F49" i="20" s="1"/>
  <c r="D42" i="4"/>
  <c r="E42" i="4"/>
  <c r="H41" i="4"/>
  <c r="D43" i="3"/>
  <c r="E43" i="3"/>
  <c r="B38" i="28"/>
  <c r="F38" i="28"/>
  <c r="B38" i="27"/>
  <c r="F38" i="27"/>
  <c r="G41" i="4"/>
  <c r="H42" i="3"/>
  <c r="I42" i="3" s="1"/>
  <c r="B36" i="25"/>
  <c r="F36" i="25"/>
  <c r="G36" i="25" s="1"/>
  <c r="B37" i="26"/>
  <c r="F37" i="26"/>
  <c r="G37" i="26" s="1"/>
  <c r="B34" i="35"/>
  <c r="F34" i="35"/>
  <c r="D38" i="22"/>
  <c r="E38" i="22"/>
  <c r="D39" i="21"/>
  <c r="E39" i="21"/>
  <c r="F35" i="29"/>
  <c r="H35" i="29" s="1"/>
  <c r="F33" i="37"/>
  <c r="G33" i="37" s="1"/>
  <c r="B33" i="37"/>
  <c r="F38" i="23"/>
  <c r="B38" i="23"/>
  <c r="H40" i="18"/>
  <c r="B34" i="34"/>
  <c r="F34" i="34"/>
  <c r="G34" i="34" s="1"/>
  <c r="J122" i="4"/>
  <c r="F32" i="38"/>
  <c r="B32" i="38"/>
  <c r="B34" i="31"/>
  <c r="F34" i="31"/>
  <c r="G40" i="18"/>
  <c r="D41" i="19"/>
  <c r="E41" i="19"/>
  <c r="F36" i="13"/>
  <c r="H36" i="13" s="1"/>
  <c r="B36" i="13"/>
  <c r="D123" i="18"/>
  <c r="G122" i="18"/>
  <c r="G123" i="4"/>
  <c r="D124" i="4"/>
  <c r="B124" i="4" s="1"/>
  <c r="J115" i="38"/>
  <c r="F121" i="28"/>
  <c r="B121" i="28"/>
  <c r="G119" i="26"/>
  <c r="D120" i="26"/>
  <c r="G115" i="37"/>
  <c r="D116" i="37"/>
  <c r="E116" i="37"/>
  <c r="B119" i="25"/>
  <c r="F119" i="25"/>
  <c r="H118" i="25"/>
  <c r="I118" i="25"/>
  <c r="G116" i="35"/>
  <c r="D117" i="35"/>
  <c r="J114" i="37"/>
  <c r="H120" i="28"/>
  <c r="I120" i="28"/>
  <c r="D117" i="31"/>
  <c r="B117" i="31" s="1"/>
  <c r="G116" i="31"/>
  <c r="D121" i="21"/>
  <c r="E121" i="21" s="1"/>
  <c r="G120" i="21"/>
  <c r="D121" i="24"/>
  <c r="E121" i="24" s="1"/>
  <c r="G120" i="24"/>
  <c r="J119" i="27"/>
  <c r="J119" i="24"/>
  <c r="F122" i="29"/>
  <c r="J119" i="21"/>
  <c r="H121" i="29"/>
  <c r="I121" i="29"/>
  <c r="D117" i="34"/>
  <c r="G116" i="34"/>
  <c r="D117" i="38"/>
  <c r="E117" i="38" s="1"/>
  <c r="G116" i="38"/>
  <c r="F123" i="19"/>
  <c r="B123" i="19"/>
  <c r="J115" i="34"/>
  <c r="D121" i="27"/>
  <c r="G120" i="27"/>
  <c r="H122" i="19"/>
  <c r="I122" i="19"/>
  <c r="B117" i="20"/>
  <c r="H119" i="22"/>
  <c r="I119" i="22"/>
  <c r="F120" i="22"/>
  <c r="B120" i="22"/>
  <c r="I116" i="20"/>
  <c r="H116" i="20"/>
  <c r="H123" i="3"/>
  <c r="I123" i="3"/>
  <c r="I124" i="23"/>
  <c r="H124" i="23"/>
  <c r="E117" i="20"/>
  <c r="F117" i="20" s="1"/>
  <c r="B124" i="3"/>
  <c r="F124" i="3"/>
  <c r="E125" i="23"/>
  <c r="F125" i="23" s="1"/>
  <c r="F39" i="24" l="1"/>
  <c r="G39" i="24" s="1"/>
  <c r="B39" i="24"/>
  <c r="I116" i="13"/>
  <c r="H116" i="13"/>
  <c r="E117" i="13"/>
  <c r="F117" i="13" s="1"/>
  <c r="B117" i="13"/>
  <c r="G35" i="29"/>
  <c r="I35" i="29" s="1"/>
  <c r="H33" i="37"/>
  <c r="I33" i="37" s="1"/>
  <c r="I40" i="18"/>
  <c r="H36" i="25"/>
  <c r="D35" i="31"/>
  <c r="E35" i="31"/>
  <c r="D35" i="34"/>
  <c r="E35" i="34"/>
  <c r="D39" i="23"/>
  <c r="E39" i="23"/>
  <c r="D39" i="28"/>
  <c r="E39" i="28" s="1"/>
  <c r="B39" i="21"/>
  <c r="F39" i="21"/>
  <c r="G39" i="21" s="1"/>
  <c r="D38" i="26"/>
  <c r="E38" i="26"/>
  <c r="F42" i="4"/>
  <c r="G42" i="4" s="1"/>
  <c r="B42" i="4"/>
  <c r="J120" i="28"/>
  <c r="D37" i="13"/>
  <c r="E37" i="13" s="1"/>
  <c r="G34" i="31"/>
  <c r="H38" i="28"/>
  <c r="H49" i="20"/>
  <c r="G49" i="20"/>
  <c r="E50" i="20"/>
  <c r="F50" i="20" s="1"/>
  <c r="B50" i="20"/>
  <c r="H34" i="34"/>
  <c r="I34" i="34" s="1"/>
  <c r="B38" i="22"/>
  <c r="F38" i="22"/>
  <c r="H37" i="26"/>
  <c r="I37" i="26" s="1"/>
  <c r="D39" i="27"/>
  <c r="E39" i="27"/>
  <c r="B41" i="19"/>
  <c r="F41" i="19"/>
  <c r="D33" i="38"/>
  <c r="E33" i="38"/>
  <c r="D34" i="37"/>
  <c r="E34" i="37"/>
  <c r="D35" i="35"/>
  <c r="E35" i="35"/>
  <c r="H38" i="27"/>
  <c r="B43" i="3"/>
  <c r="F43" i="3"/>
  <c r="H43" i="3" s="1"/>
  <c r="I48" i="20"/>
  <c r="H32" i="38"/>
  <c r="G38" i="23"/>
  <c r="I36" i="25"/>
  <c r="I41" i="4"/>
  <c r="G32" i="38"/>
  <c r="H38" i="23"/>
  <c r="D36" i="29"/>
  <c r="E36" i="29"/>
  <c r="G34" i="35"/>
  <c r="G38" i="27"/>
  <c r="G36" i="13"/>
  <c r="I36" i="13" s="1"/>
  <c r="H34" i="31"/>
  <c r="H34" i="35"/>
  <c r="D37" i="25"/>
  <c r="E37" i="25"/>
  <c r="G38" i="28"/>
  <c r="F41" i="18"/>
  <c r="H41" i="18" s="1"/>
  <c r="B41" i="18"/>
  <c r="J121" i="29"/>
  <c r="E124" i="4"/>
  <c r="F124" i="4" s="1"/>
  <c r="H123" i="4"/>
  <c r="I123" i="4"/>
  <c r="I122" i="18"/>
  <c r="H122" i="18"/>
  <c r="E117" i="31"/>
  <c r="F117" i="31" s="1"/>
  <c r="D118" i="31" s="1"/>
  <c r="J118" i="25"/>
  <c r="E123" i="18"/>
  <c r="F123" i="18" s="1"/>
  <c r="B123" i="18"/>
  <c r="B116" i="37"/>
  <c r="F116" i="37"/>
  <c r="E117" i="35"/>
  <c r="F117" i="35" s="1"/>
  <c r="B117" i="35"/>
  <c r="I115" i="37"/>
  <c r="H115" i="37"/>
  <c r="I116" i="35"/>
  <c r="H116" i="35"/>
  <c r="E120" i="26"/>
  <c r="F120" i="26" s="1"/>
  <c r="B120" i="26"/>
  <c r="I119" i="26"/>
  <c r="H119" i="26"/>
  <c r="I116" i="31"/>
  <c r="H116" i="31"/>
  <c r="D120" i="25"/>
  <c r="G119" i="25"/>
  <c r="G121" i="28"/>
  <c r="D122" i="28"/>
  <c r="E122" i="28" s="1"/>
  <c r="J122" i="19"/>
  <c r="H120" i="24"/>
  <c r="I120" i="24"/>
  <c r="B117" i="34"/>
  <c r="F117" i="38"/>
  <c r="B117" i="38"/>
  <c r="F121" i="24"/>
  <c r="B121" i="24"/>
  <c r="B121" i="27"/>
  <c r="H116" i="38"/>
  <c r="I116" i="38"/>
  <c r="J124" i="23"/>
  <c r="G123" i="19"/>
  <c r="D124" i="19"/>
  <c r="E121" i="27"/>
  <c r="F121" i="27" s="1"/>
  <c r="E117" i="34"/>
  <c r="F117" i="34" s="1"/>
  <c r="G122" i="29"/>
  <c r="D123" i="29"/>
  <c r="E123" i="29" s="1"/>
  <c r="H120" i="21"/>
  <c r="I120" i="21"/>
  <c r="J123" i="3"/>
  <c r="J119" i="22"/>
  <c r="I120" i="27"/>
  <c r="H120" i="27"/>
  <c r="H116" i="34"/>
  <c r="I116" i="34"/>
  <c r="B121" i="21"/>
  <c r="F121" i="21"/>
  <c r="G125" i="23"/>
  <c r="D126" i="23"/>
  <c r="G117" i="20"/>
  <c r="D118" i="20"/>
  <c r="E118" i="20" s="1"/>
  <c r="G120" i="22"/>
  <c r="D121" i="22"/>
  <c r="E121" i="22" s="1"/>
  <c r="J116" i="20"/>
  <c r="G124" i="3"/>
  <c r="D125" i="3"/>
  <c r="E125" i="3" s="1"/>
  <c r="H39" i="24" l="1"/>
  <c r="I39" i="24" s="1"/>
  <c r="E40" i="24"/>
  <c r="D40" i="24"/>
  <c r="I34" i="31"/>
  <c r="G117" i="13"/>
  <c r="D118" i="13"/>
  <c r="B118" i="13" s="1"/>
  <c r="G117" i="31"/>
  <c r="I117" i="31" s="1"/>
  <c r="J116" i="13"/>
  <c r="I38" i="27"/>
  <c r="H42" i="4"/>
  <c r="I42" i="4" s="1"/>
  <c r="G43" i="3"/>
  <c r="I43" i="3" s="1"/>
  <c r="I32" i="38"/>
  <c r="D42" i="19"/>
  <c r="E42" i="19"/>
  <c r="D39" i="22"/>
  <c r="E39" i="22"/>
  <c r="I38" i="28"/>
  <c r="F39" i="28"/>
  <c r="G39" i="28" s="1"/>
  <c r="B39" i="28"/>
  <c r="H41" i="19"/>
  <c r="H38" i="22"/>
  <c r="B38" i="26"/>
  <c r="F38" i="26"/>
  <c r="B39" i="23"/>
  <c r="F39" i="23"/>
  <c r="G39" i="23" s="1"/>
  <c r="B35" i="35"/>
  <c r="F35" i="35"/>
  <c r="G35" i="35" s="1"/>
  <c r="G41" i="19"/>
  <c r="B37" i="13"/>
  <c r="F37" i="13"/>
  <c r="D40" i="21"/>
  <c r="E40" i="21"/>
  <c r="B35" i="34"/>
  <c r="F35" i="34"/>
  <c r="G35" i="34" s="1"/>
  <c r="D42" i="18"/>
  <c r="E42" i="18"/>
  <c r="F37" i="25"/>
  <c r="G37" i="25" s="1"/>
  <c r="B37" i="25"/>
  <c r="F36" i="29"/>
  <c r="G36" i="29" s="1"/>
  <c r="F34" i="37"/>
  <c r="H34" i="37" s="1"/>
  <c r="B34" i="37"/>
  <c r="B39" i="27"/>
  <c r="F39" i="27"/>
  <c r="B51" i="20"/>
  <c r="H50" i="20"/>
  <c r="G50" i="20"/>
  <c r="E51" i="20"/>
  <c r="F51" i="20" s="1"/>
  <c r="G41" i="18"/>
  <c r="I41" i="18" s="1"/>
  <c r="I34" i="35"/>
  <c r="I38" i="23"/>
  <c r="H39" i="21"/>
  <c r="I39" i="21" s="1"/>
  <c r="B35" i="31"/>
  <c r="F35" i="31"/>
  <c r="J123" i="4"/>
  <c r="D44" i="3"/>
  <c r="E44" i="3"/>
  <c r="B33" i="38"/>
  <c r="F33" i="38"/>
  <c r="G33" i="38" s="1"/>
  <c r="G38" i="22"/>
  <c r="I49" i="20"/>
  <c r="D43" i="4"/>
  <c r="E43" i="4"/>
  <c r="J116" i="38"/>
  <c r="J120" i="24"/>
  <c r="J122" i="18"/>
  <c r="G123" i="18"/>
  <c r="D124" i="18"/>
  <c r="E124" i="18" s="1"/>
  <c r="J116" i="35"/>
  <c r="D125" i="4"/>
  <c r="G124" i="4"/>
  <c r="D118" i="35"/>
  <c r="E118" i="35" s="1"/>
  <c r="G117" i="35"/>
  <c r="F122" i="28"/>
  <c r="B122" i="28"/>
  <c r="J119" i="26"/>
  <c r="H121" i="28"/>
  <c r="I121" i="28"/>
  <c r="J115" i="37"/>
  <c r="H119" i="25"/>
  <c r="I119" i="25"/>
  <c r="E118" i="31"/>
  <c r="F118" i="31" s="1"/>
  <c r="B118" i="31"/>
  <c r="E120" i="25"/>
  <c r="F120" i="25" s="1"/>
  <c r="B120" i="25"/>
  <c r="G120" i="26"/>
  <c r="D121" i="26"/>
  <c r="B121" i="26" s="1"/>
  <c r="J120" i="21"/>
  <c r="G116" i="37"/>
  <c r="D117" i="37"/>
  <c r="J116" i="31"/>
  <c r="J116" i="34"/>
  <c r="G121" i="27"/>
  <c r="D122" i="27"/>
  <c r="E122" i="27" s="1"/>
  <c r="G117" i="38"/>
  <c r="D118" i="38"/>
  <c r="E118" i="38" s="1"/>
  <c r="J120" i="27"/>
  <c r="F123" i="29"/>
  <c r="B124" i="19"/>
  <c r="G117" i="34"/>
  <c r="D118" i="34"/>
  <c r="E118" i="34" s="1"/>
  <c r="H122" i="29"/>
  <c r="I122" i="29"/>
  <c r="H123" i="19"/>
  <c r="I123" i="19"/>
  <c r="D122" i="24"/>
  <c r="E122" i="24" s="1"/>
  <c r="G121" i="24"/>
  <c r="D122" i="21"/>
  <c r="E122" i="21" s="1"/>
  <c r="G121" i="21"/>
  <c r="E124" i="19"/>
  <c r="F124" i="19" s="1"/>
  <c r="F121" i="22"/>
  <c r="B121" i="22"/>
  <c r="B125" i="3"/>
  <c r="F125" i="3"/>
  <c r="I120" i="22"/>
  <c r="H120" i="22"/>
  <c r="H125" i="23"/>
  <c r="I125" i="23"/>
  <c r="F118" i="20"/>
  <c r="B118" i="20"/>
  <c r="I117" i="20"/>
  <c r="H117" i="20"/>
  <c r="I124" i="3"/>
  <c r="H124" i="3"/>
  <c r="E126" i="23"/>
  <c r="F126" i="23" s="1"/>
  <c r="H117" i="31" l="1"/>
  <c r="B40" i="24"/>
  <c r="F40" i="24"/>
  <c r="H40" i="24" s="1"/>
  <c r="E118" i="13"/>
  <c r="F118" i="13" s="1"/>
  <c r="G118" i="13" s="1"/>
  <c r="H118" i="13" s="1"/>
  <c r="H39" i="23"/>
  <c r="I39" i="23" s="1"/>
  <c r="J119" i="25"/>
  <c r="I117" i="13"/>
  <c r="H117" i="13"/>
  <c r="G34" i="37"/>
  <c r="I34" i="37" s="1"/>
  <c r="H37" i="25"/>
  <c r="I37" i="25" s="1"/>
  <c r="H36" i="29"/>
  <c r="I36" i="29" s="1"/>
  <c r="F43" i="4"/>
  <c r="H43" i="4" s="1"/>
  <c r="B43" i="4"/>
  <c r="B44" i="3"/>
  <c r="F44" i="3"/>
  <c r="D38" i="13"/>
  <c r="E38" i="13" s="1"/>
  <c r="D39" i="26"/>
  <c r="E39" i="26"/>
  <c r="D40" i="27"/>
  <c r="E40" i="27"/>
  <c r="B42" i="18"/>
  <c r="F42" i="18"/>
  <c r="H37" i="13"/>
  <c r="D37" i="29"/>
  <c r="E37" i="29"/>
  <c r="D36" i="34"/>
  <c r="E36" i="34"/>
  <c r="G37" i="13"/>
  <c r="I38" i="22"/>
  <c r="D40" i="28"/>
  <c r="E40" i="28" s="1"/>
  <c r="D36" i="31"/>
  <c r="E36" i="31"/>
  <c r="H39" i="27"/>
  <c r="I41" i="19"/>
  <c r="D34" i="38"/>
  <c r="E34" i="38"/>
  <c r="G39" i="27"/>
  <c r="D40" i="23"/>
  <c r="E40" i="23"/>
  <c r="H35" i="31"/>
  <c r="H51" i="20"/>
  <c r="G51" i="20"/>
  <c r="E52" i="20"/>
  <c r="F52" i="20" s="1"/>
  <c r="B52" i="20"/>
  <c r="H35" i="34"/>
  <c r="I35" i="34" s="1"/>
  <c r="D36" i="35"/>
  <c r="E36" i="35"/>
  <c r="B39" i="22"/>
  <c r="F39" i="22"/>
  <c r="G39" i="22" s="1"/>
  <c r="H33" i="38"/>
  <c r="I33" i="38" s="1"/>
  <c r="G35" i="31"/>
  <c r="H38" i="26"/>
  <c r="J117" i="31"/>
  <c r="I50" i="20"/>
  <c r="D35" i="37"/>
  <c r="E35" i="37"/>
  <c r="D38" i="25"/>
  <c r="E38" i="25"/>
  <c r="F40" i="21"/>
  <c r="B40" i="21"/>
  <c r="H35" i="35"/>
  <c r="I35" i="35" s="1"/>
  <c r="G38" i="26"/>
  <c r="H39" i="28"/>
  <c r="I39" i="28" s="1"/>
  <c r="F42" i="19"/>
  <c r="G42" i="19" s="1"/>
  <c r="B42" i="19"/>
  <c r="E125" i="4"/>
  <c r="F125" i="4" s="1"/>
  <c r="B125" i="4"/>
  <c r="J125" i="23"/>
  <c r="H123" i="18"/>
  <c r="I123" i="18"/>
  <c r="F124" i="18"/>
  <c r="B124" i="18"/>
  <c r="J121" i="28"/>
  <c r="H124" i="4"/>
  <c r="I124" i="4"/>
  <c r="D121" i="25"/>
  <c r="E121" i="25" s="1"/>
  <c r="G120" i="25"/>
  <c r="H116" i="37"/>
  <c r="I116" i="37"/>
  <c r="G118" i="31"/>
  <c r="D119" i="31"/>
  <c r="E121" i="26"/>
  <c r="F121" i="26" s="1"/>
  <c r="I120" i="26"/>
  <c r="H120" i="26"/>
  <c r="G122" i="28"/>
  <c r="D123" i="28"/>
  <c r="H117" i="35"/>
  <c r="I117" i="35"/>
  <c r="E117" i="37"/>
  <c r="F117" i="37" s="1"/>
  <c r="B117" i="37"/>
  <c r="F118" i="35"/>
  <c r="B118" i="35"/>
  <c r="G124" i="19"/>
  <c r="D125" i="19"/>
  <c r="F118" i="34"/>
  <c r="B118" i="34"/>
  <c r="F118" i="38"/>
  <c r="B118" i="38"/>
  <c r="H121" i="24"/>
  <c r="I121" i="24"/>
  <c r="I117" i="34"/>
  <c r="H117" i="34"/>
  <c r="H117" i="38"/>
  <c r="I117" i="38"/>
  <c r="H121" i="21"/>
  <c r="I121" i="21"/>
  <c r="F122" i="24"/>
  <c r="B122" i="24"/>
  <c r="F122" i="21"/>
  <c r="B122" i="21"/>
  <c r="J123" i="19"/>
  <c r="B122" i="27"/>
  <c r="F122" i="27"/>
  <c r="G123" i="29"/>
  <c r="D124" i="29"/>
  <c r="J122" i="29"/>
  <c r="H121" i="27"/>
  <c r="I121" i="27"/>
  <c r="J120" i="22"/>
  <c r="J117" i="20"/>
  <c r="D122" i="22"/>
  <c r="G121" i="22"/>
  <c r="D126" i="3"/>
  <c r="E126" i="3" s="1"/>
  <c r="G125" i="3"/>
  <c r="J124" i="3"/>
  <c r="D127" i="23"/>
  <c r="G126" i="23"/>
  <c r="G118" i="20"/>
  <c r="D119" i="20"/>
  <c r="E119" i="20" s="1"/>
  <c r="G40" i="24" l="1"/>
  <c r="I40" i="24" s="1"/>
  <c r="D41" i="24"/>
  <c r="E41" i="24"/>
  <c r="I118" i="13"/>
  <c r="J118" i="13" s="1"/>
  <c r="D119" i="13"/>
  <c r="J121" i="27"/>
  <c r="J123" i="18"/>
  <c r="J116" i="37"/>
  <c r="J117" i="13"/>
  <c r="G43" i="4"/>
  <c r="I43" i="4" s="1"/>
  <c r="H39" i="22"/>
  <c r="I39" i="22" s="1"/>
  <c r="I39" i="27"/>
  <c r="J124" i="4"/>
  <c r="D41" i="21"/>
  <c r="E41" i="21"/>
  <c r="B36" i="35"/>
  <c r="F36" i="35"/>
  <c r="G36" i="35" s="1"/>
  <c r="D43" i="18"/>
  <c r="E43" i="18"/>
  <c r="D45" i="3"/>
  <c r="E45" i="3"/>
  <c r="D43" i="19"/>
  <c r="E43" i="19"/>
  <c r="H44" i="3"/>
  <c r="B38" i="25"/>
  <c r="F38" i="25"/>
  <c r="G38" i="25" s="1"/>
  <c r="F36" i="34"/>
  <c r="H36" i="34" s="1"/>
  <c r="B36" i="34"/>
  <c r="G44" i="3"/>
  <c r="E53" i="20"/>
  <c r="F53" i="20" s="1"/>
  <c r="G52" i="20"/>
  <c r="H52" i="20"/>
  <c r="B53" i="20"/>
  <c r="F40" i="27"/>
  <c r="H40" i="27" s="1"/>
  <c r="B40" i="27"/>
  <c r="B35" i="37"/>
  <c r="F35" i="37"/>
  <c r="H35" i="37" s="1"/>
  <c r="F40" i="23"/>
  <c r="B40" i="23"/>
  <c r="F36" i="31"/>
  <c r="H36" i="31" s="1"/>
  <c r="B36" i="31"/>
  <c r="F37" i="29"/>
  <c r="H37" i="29" s="1"/>
  <c r="D40" i="22"/>
  <c r="E40" i="22"/>
  <c r="I51" i="20"/>
  <c r="I37" i="13"/>
  <c r="F39" i="26"/>
  <c r="H39" i="26" s="1"/>
  <c r="B39" i="26"/>
  <c r="H40" i="21"/>
  <c r="I35" i="31"/>
  <c r="F40" i="28"/>
  <c r="B40" i="28"/>
  <c r="G42" i="18"/>
  <c r="H42" i="19"/>
  <c r="I42" i="19" s="1"/>
  <c r="G40" i="21"/>
  <c r="I38" i="26"/>
  <c r="F34" i="38"/>
  <c r="G34" i="38" s="1"/>
  <c r="B34" i="38"/>
  <c r="H42" i="18"/>
  <c r="F38" i="13"/>
  <c r="H38" i="13" s="1"/>
  <c r="B38" i="13"/>
  <c r="D44" i="4"/>
  <c r="E44" i="4"/>
  <c r="G124" i="18"/>
  <c r="D125" i="18"/>
  <c r="B125" i="18" s="1"/>
  <c r="G125" i="4"/>
  <c r="D126" i="4"/>
  <c r="J117" i="35"/>
  <c r="D118" i="37"/>
  <c r="G117" i="37"/>
  <c r="G121" i="26"/>
  <c r="D122" i="26"/>
  <c r="E119" i="31"/>
  <c r="F119" i="31" s="1"/>
  <c r="B119" i="31"/>
  <c r="I118" i="31"/>
  <c r="H118" i="31"/>
  <c r="E123" i="28"/>
  <c r="F123" i="28" s="1"/>
  <c r="B123" i="28"/>
  <c r="G118" i="35"/>
  <c r="D119" i="35"/>
  <c r="E119" i="35" s="1"/>
  <c r="H122" i="28"/>
  <c r="I122" i="28"/>
  <c r="H120" i="25"/>
  <c r="I120" i="25"/>
  <c r="J117" i="38"/>
  <c r="J120" i="26"/>
  <c r="B121" i="25"/>
  <c r="F121" i="25"/>
  <c r="J121" i="21"/>
  <c r="J121" i="24"/>
  <c r="D119" i="38"/>
  <c r="E119" i="38" s="1"/>
  <c r="G118" i="38"/>
  <c r="B125" i="19"/>
  <c r="G122" i="24"/>
  <c r="D123" i="24"/>
  <c r="J117" i="34"/>
  <c r="D119" i="34"/>
  <c r="E119" i="34" s="1"/>
  <c r="G118" i="34"/>
  <c r="H124" i="19"/>
  <c r="I124" i="19"/>
  <c r="E125" i="19"/>
  <c r="F125" i="19" s="1"/>
  <c r="H123" i="29"/>
  <c r="I123" i="29"/>
  <c r="G122" i="27"/>
  <c r="D123" i="27"/>
  <c r="G122" i="21"/>
  <c r="D123" i="21"/>
  <c r="E123" i="21" s="1"/>
  <c r="E124" i="29"/>
  <c r="F124" i="29" s="1"/>
  <c r="H125" i="3"/>
  <c r="I125" i="3"/>
  <c r="I121" i="22"/>
  <c r="H121" i="22"/>
  <c r="B126" i="3"/>
  <c r="F126" i="3"/>
  <c r="B122" i="22"/>
  <c r="B119" i="20"/>
  <c r="F119" i="20"/>
  <c r="H118" i="20"/>
  <c r="I118" i="20"/>
  <c r="H126" i="23"/>
  <c r="I126" i="23"/>
  <c r="E127" i="23"/>
  <c r="F127" i="23" s="1"/>
  <c r="E122" i="22"/>
  <c r="F122" i="22" s="1"/>
  <c r="H36" i="35" l="1"/>
  <c r="I42" i="18"/>
  <c r="F41" i="24"/>
  <c r="H41" i="24" s="1"/>
  <c r="B41" i="24"/>
  <c r="E119" i="13"/>
  <c r="F119" i="13" s="1"/>
  <c r="B119" i="13"/>
  <c r="G37" i="29"/>
  <c r="I37" i="29" s="1"/>
  <c r="G36" i="34"/>
  <c r="I36" i="34" s="1"/>
  <c r="J118" i="31"/>
  <c r="J124" i="19"/>
  <c r="G39" i="26"/>
  <c r="I39" i="26" s="1"/>
  <c r="H34" i="38"/>
  <c r="I34" i="38" s="1"/>
  <c r="G35" i="37"/>
  <c r="I35" i="37" s="1"/>
  <c r="J126" i="23"/>
  <c r="G40" i="27"/>
  <c r="I40" i="27" s="1"/>
  <c r="D39" i="13"/>
  <c r="D41" i="28"/>
  <c r="E41" i="28" s="1"/>
  <c r="D37" i="31"/>
  <c r="E37" i="31"/>
  <c r="B54" i="20"/>
  <c r="G53" i="20"/>
  <c r="H53" i="20"/>
  <c r="E54" i="20"/>
  <c r="F54" i="20" s="1"/>
  <c r="D39" i="25"/>
  <c r="E39" i="25"/>
  <c r="B43" i="18"/>
  <c r="F43" i="18"/>
  <c r="H43" i="18" s="1"/>
  <c r="I40" i="21"/>
  <c r="B40" i="22"/>
  <c r="F40" i="22"/>
  <c r="D41" i="23"/>
  <c r="E41" i="23"/>
  <c r="I44" i="3"/>
  <c r="I36" i="35"/>
  <c r="G40" i="23"/>
  <c r="D37" i="35"/>
  <c r="E37" i="35"/>
  <c r="B44" i="4"/>
  <c r="F44" i="4"/>
  <c r="H44" i="4" s="1"/>
  <c r="D38" i="29"/>
  <c r="E38" i="29"/>
  <c r="H40" i="23"/>
  <c r="D41" i="27"/>
  <c r="E41" i="27"/>
  <c r="F43" i="19"/>
  <c r="H43" i="19" s="1"/>
  <c r="B43" i="19"/>
  <c r="G38" i="13"/>
  <c r="I38" i="13" s="1"/>
  <c r="D35" i="38"/>
  <c r="E35" i="38"/>
  <c r="H40" i="28"/>
  <c r="D40" i="26"/>
  <c r="E40" i="26"/>
  <c r="D36" i="37"/>
  <c r="E36" i="37"/>
  <c r="D37" i="34"/>
  <c r="E37" i="34"/>
  <c r="G40" i="28"/>
  <c r="G36" i="31"/>
  <c r="I36" i="31" s="1"/>
  <c r="I52" i="20"/>
  <c r="H38" i="25"/>
  <c r="I38" i="25" s="1"/>
  <c r="F45" i="3"/>
  <c r="H45" i="3" s="1"/>
  <c r="B45" i="3"/>
  <c r="F41" i="21"/>
  <c r="G41" i="21" s="1"/>
  <c r="B41" i="21"/>
  <c r="J123" i="29"/>
  <c r="E126" i="4"/>
  <c r="F126" i="4" s="1"/>
  <c r="B126" i="4"/>
  <c r="I125" i="4"/>
  <c r="H125" i="4"/>
  <c r="E125" i="18"/>
  <c r="F125" i="18" s="1"/>
  <c r="J120" i="25"/>
  <c r="I124" i="18"/>
  <c r="H124" i="18"/>
  <c r="J122" i="28"/>
  <c r="D122" i="25"/>
  <c r="E122" i="25" s="1"/>
  <c r="G121" i="25"/>
  <c r="F119" i="35"/>
  <c r="B119" i="35"/>
  <c r="G119" i="31"/>
  <c r="D120" i="31"/>
  <c r="B120" i="31" s="1"/>
  <c r="H118" i="35"/>
  <c r="I118" i="35"/>
  <c r="E122" i="26"/>
  <c r="F122" i="26" s="1"/>
  <c r="B122" i="26"/>
  <c r="D124" i="28"/>
  <c r="E124" i="28" s="1"/>
  <c r="G123" i="28"/>
  <c r="H121" i="26"/>
  <c r="I121" i="26"/>
  <c r="H117" i="37"/>
  <c r="I117" i="37"/>
  <c r="E118" i="37"/>
  <c r="F118" i="37" s="1"/>
  <c r="B118" i="37"/>
  <c r="H122" i="27"/>
  <c r="I122" i="27"/>
  <c r="I122" i="24"/>
  <c r="H122" i="24"/>
  <c r="G124" i="29"/>
  <c r="D125" i="29"/>
  <c r="D126" i="19"/>
  <c r="E126" i="19" s="1"/>
  <c r="G125" i="19"/>
  <c r="F119" i="38"/>
  <c r="B119" i="38"/>
  <c r="B123" i="27"/>
  <c r="H118" i="38"/>
  <c r="I118" i="38"/>
  <c r="I118" i="34"/>
  <c r="H118" i="34"/>
  <c r="F119" i="34"/>
  <c r="B119" i="34"/>
  <c r="H122" i="21"/>
  <c r="I122" i="21"/>
  <c r="B123" i="24"/>
  <c r="J118" i="20"/>
  <c r="J125" i="3"/>
  <c r="B123" i="21"/>
  <c r="F123" i="21"/>
  <c r="E123" i="27"/>
  <c r="F123" i="27" s="1"/>
  <c r="E123" i="24"/>
  <c r="F123" i="24" s="1"/>
  <c r="G122" i="22"/>
  <c r="D123" i="22"/>
  <c r="D128" i="23"/>
  <c r="G127" i="23"/>
  <c r="D120" i="20"/>
  <c r="E120" i="20" s="1"/>
  <c r="G119" i="20"/>
  <c r="D127" i="3"/>
  <c r="E127" i="3" s="1"/>
  <c r="G126" i="3"/>
  <c r="J121" i="22"/>
  <c r="I53" i="20" l="1"/>
  <c r="G41" i="24"/>
  <c r="I41" i="24" s="1"/>
  <c r="E42" i="24"/>
  <c r="D42" i="24"/>
  <c r="D120" i="13"/>
  <c r="G119" i="13"/>
  <c r="J118" i="35"/>
  <c r="H41" i="21"/>
  <c r="I41" i="21" s="1"/>
  <c r="I40" i="23"/>
  <c r="G45" i="3"/>
  <c r="I45" i="3" s="1"/>
  <c r="G43" i="18"/>
  <c r="I43" i="18" s="1"/>
  <c r="F41" i="27"/>
  <c r="G41" i="27" s="1"/>
  <c r="B41" i="27"/>
  <c r="F41" i="23"/>
  <c r="B41" i="23"/>
  <c r="B35" i="38"/>
  <c r="F35" i="38"/>
  <c r="G35" i="38" s="1"/>
  <c r="D41" i="22"/>
  <c r="E41" i="22"/>
  <c r="B37" i="31"/>
  <c r="F37" i="31"/>
  <c r="H37" i="31" s="1"/>
  <c r="B37" i="34"/>
  <c r="F37" i="34"/>
  <c r="G37" i="34" s="1"/>
  <c r="F37" i="35"/>
  <c r="G37" i="35" s="1"/>
  <c r="B37" i="35"/>
  <c r="F38" i="29"/>
  <c r="G38" i="29" s="1"/>
  <c r="G40" i="22"/>
  <c r="B39" i="25"/>
  <c r="F39" i="25"/>
  <c r="D42" i="21"/>
  <c r="E42" i="21"/>
  <c r="B36" i="37"/>
  <c r="F36" i="37"/>
  <c r="H36" i="37" s="1"/>
  <c r="H40" i="22"/>
  <c r="B55" i="20"/>
  <c r="G54" i="20"/>
  <c r="E55" i="20"/>
  <c r="F55" i="20" s="1"/>
  <c r="H54" i="20"/>
  <c r="B41" i="28"/>
  <c r="F41" i="28"/>
  <c r="D44" i="19"/>
  <c r="E44" i="19"/>
  <c r="D45" i="4"/>
  <c r="E45" i="4"/>
  <c r="B39" i="13"/>
  <c r="J121" i="26"/>
  <c r="F40" i="26"/>
  <c r="G40" i="26" s="1"/>
  <c r="B40" i="26"/>
  <c r="G43" i="19"/>
  <c r="I43" i="19" s="1"/>
  <c r="G44" i="4"/>
  <c r="I44" i="4" s="1"/>
  <c r="E39" i="13"/>
  <c r="F39" i="13" s="1"/>
  <c r="J122" i="27"/>
  <c r="D46" i="3"/>
  <c r="E46" i="3"/>
  <c r="I40" i="28"/>
  <c r="D44" i="18"/>
  <c r="E44" i="18"/>
  <c r="D126" i="18"/>
  <c r="E126" i="18" s="1"/>
  <c r="G125" i="18"/>
  <c r="J118" i="38"/>
  <c r="J117" i="37"/>
  <c r="J125" i="4"/>
  <c r="G126" i="4"/>
  <c r="D127" i="4"/>
  <c r="B127" i="4" s="1"/>
  <c r="J124" i="18"/>
  <c r="G118" i="37"/>
  <c r="D119" i="37"/>
  <c r="E119" i="37" s="1"/>
  <c r="I123" i="28"/>
  <c r="H123" i="28"/>
  <c r="H119" i="31"/>
  <c r="I119" i="31"/>
  <c r="F124" i="28"/>
  <c r="B124" i="28"/>
  <c r="E120" i="31"/>
  <c r="F120" i="31" s="1"/>
  <c r="G122" i="26"/>
  <c r="D123" i="26"/>
  <c r="B123" i="26" s="1"/>
  <c r="D120" i="35"/>
  <c r="B120" i="35" s="1"/>
  <c r="G119" i="35"/>
  <c r="I121" i="25"/>
  <c r="H121" i="25"/>
  <c r="B122" i="25"/>
  <c r="F122" i="25"/>
  <c r="J122" i="21"/>
  <c r="D124" i="24"/>
  <c r="E124" i="24" s="1"/>
  <c r="G123" i="24"/>
  <c r="G123" i="27"/>
  <c r="D124" i="27"/>
  <c r="E124" i="27" s="1"/>
  <c r="I124" i="29"/>
  <c r="H124" i="29"/>
  <c r="D120" i="38"/>
  <c r="G119" i="38"/>
  <c r="H125" i="19"/>
  <c r="I125" i="19"/>
  <c r="J122" i="24"/>
  <c r="J118" i="34"/>
  <c r="F126" i="19"/>
  <c r="B126" i="19"/>
  <c r="D124" i="21"/>
  <c r="E124" i="21" s="1"/>
  <c r="G123" i="21"/>
  <c r="D120" i="34"/>
  <c r="E120" i="34" s="1"/>
  <c r="G119" i="34"/>
  <c r="E125" i="29"/>
  <c r="F125" i="29" s="1"/>
  <c r="H119" i="20"/>
  <c r="I119" i="20"/>
  <c r="B123" i="22"/>
  <c r="F120" i="20"/>
  <c r="B120" i="20"/>
  <c r="H126" i="3"/>
  <c r="I126" i="3"/>
  <c r="I122" i="22"/>
  <c r="H122" i="22"/>
  <c r="E128" i="23"/>
  <c r="F128" i="23" s="1"/>
  <c r="B127" i="3"/>
  <c r="F127" i="3"/>
  <c r="I127" i="23"/>
  <c r="H127" i="23"/>
  <c r="E123" i="22"/>
  <c r="F123" i="22" s="1"/>
  <c r="I40" i="22" l="1"/>
  <c r="F42" i="24"/>
  <c r="G42" i="24" s="1"/>
  <c r="B42" i="24"/>
  <c r="H119" i="13"/>
  <c r="I119" i="13"/>
  <c r="E120" i="13"/>
  <c r="F120" i="13" s="1"/>
  <c r="B120" i="13"/>
  <c r="H37" i="35"/>
  <c r="I37" i="35" s="1"/>
  <c r="H40" i="26"/>
  <c r="I40" i="26" s="1"/>
  <c r="H41" i="27"/>
  <c r="I41" i="27" s="1"/>
  <c r="D40" i="13"/>
  <c r="E40" i="13" s="1"/>
  <c r="G39" i="13"/>
  <c r="H39" i="13"/>
  <c r="B56" i="20"/>
  <c r="G55" i="20"/>
  <c r="E56" i="20"/>
  <c r="F56" i="20" s="1"/>
  <c r="H55" i="20"/>
  <c r="H38" i="29"/>
  <c r="I38" i="29" s="1"/>
  <c r="F41" i="22"/>
  <c r="G41" i="22" s="1"/>
  <c r="B41" i="22"/>
  <c r="D42" i="23"/>
  <c r="E42" i="23"/>
  <c r="F44" i="19"/>
  <c r="H44" i="19" s="1"/>
  <c r="B44" i="19"/>
  <c r="D38" i="34"/>
  <c r="E38" i="34"/>
  <c r="B42" i="21"/>
  <c r="F42" i="21"/>
  <c r="G42" i="21" s="1"/>
  <c r="D36" i="38"/>
  <c r="E36" i="38"/>
  <c r="D39" i="29"/>
  <c r="E39" i="29"/>
  <c r="B44" i="18"/>
  <c r="F44" i="18"/>
  <c r="H44" i="18" s="1"/>
  <c r="D42" i="28"/>
  <c r="E42" i="28" s="1"/>
  <c r="D40" i="25"/>
  <c r="E40" i="25"/>
  <c r="H39" i="25"/>
  <c r="D38" i="31"/>
  <c r="E38" i="31"/>
  <c r="H35" i="38"/>
  <c r="I35" i="38" s="1"/>
  <c r="H41" i="28"/>
  <c r="D37" i="37"/>
  <c r="E37" i="37"/>
  <c r="G37" i="31"/>
  <c r="I37" i="31" s="1"/>
  <c r="G41" i="23"/>
  <c r="D42" i="27"/>
  <c r="E42" i="27"/>
  <c r="J119" i="20"/>
  <c r="D41" i="26"/>
  <c r="E41" i="26"/>
  <c r="G41" i="28"/>
  <c r="G36" i="37"/>
  <c r="I36" i="37" s="1"/>
  <c r="G39" i="25"/>
  <c r="D38" i="35"/>
  <c r="E38" i="35"/>
  <c r="H41" i="23"/>
  <c r="F46" i="3"/>
  <c r="H46" i="3" s="1"/>
  <c r="B46" i="3"/>
  <c r="F45" i="4"/>
  <c r="G45" i="4" s="1"/>
  <c r="B45" i="4"/>
  <c r="I54" i="20"/>
  <c r="H37" i="34"/>
  <c r="I37" i="34" s="1"/>
  <c r="E123" i="26"/>
  <c r="F123" i="26" s="1"/>
  <c r="D124" i="26" s="1"/>
  <c r="I126" i="4"/>
  <c r="H126" i="4"/>
  <c r="E120" i="35"/>
  <c r="F120" i="35" s="1"/>
  <c r="D121" i="35" s="1"/>
  <c r="H125" i="18"/>
  <c r="I125" i="18"/>
  <c r="J119" i="31"/>
  <c r="E127" i="4"/>
  <c r="F127" i="4" s="1"/>
  <c r="B126" i="18"/>
  <c r="F126" i="18"/>
  <c r="D125" i="28"/>
  <c r="G124" i="28"/>
  <c r="H119" i="35"/>
  <c r="I119" i="35"/>
  <c r="G122" i="25"/>
  <c r="D123" i="25"/>
  <c r="J123" i="28"/>
  <c r="I122" i="26"/>
  <c r="H122" i="26"/>
  <c r="D121" i="31"/>
  <c r="E121" i="31" s="1"/>
  <c r="G120" i="31"/>
  <c r="B119" i="37"/>
  <c r="F119" i="37"/>
  <c r="J121" i="25"/>
  <c r="H118" i="37"/>
  <c r="I118" i="37"/>
  <c r="H119" i="34"/>
  <c r="I119" i="34"/>
  <c r="G125" i="29"/>
  <c r="D126" i="29"/>
  <c r="E126" i="29" s="1"/>
  <c r="B120" i="34"/>
  <c r="F120" i="34"/>
  <c r="J125" i="19"/>
  <c r="B124" i="27"/>
  <c r="F124" i="27"/>
  <c r="J122" i="22"/>
  <c r="H119" i="38"/>
  <c r="I119" i="38"/>
  <c r="I123" i="27"/>
  <c r="H123" i="27"/>
  <c r="G126" i="19"/>
  <c r="D127" i="19"/>
  <c r="E127" i="19" s="1"/>
  <c r="B120" i="38"/>
  <c r="J127" i="23"/>
  <c r="I123" i="21"/>
  <c r="H123" i="21"/>
  <c r="E120" i="38"/>
  <c r="F120" i="38" s="1"/>
  <c r="J124" i="29"/>
  <c r="I123" i="24"/>
  <c r="H123" i="24"/>
  <c r="J126" i="3"/>
  <c r="F124" i="21"/>
  <c r="B124" i="21"/>
  <c r="F124" i="24"/>
  <c r="B124" i="24"/>
  <c r="D129" i="23"/>
  <c r="E129" i="23" s="1"/>
  <c r="G128" i="23"/>
  <c r="G123" i="22"/>
  <c r="D124" i="22"/>
  <c r="E124" i="22" s="1"/>
  <c r="G127" i="3"/>
  <c r="D128" i="3"/>
  <c r="E128" i="3" s="1"/>
  <c r="G120" i="20"/>
  <c r="D121" i="20"/>
  <c r="J119" i="13" l="1"/>
  <c r="H42" i="24"/>
  <c r="I42" i="24" s="1"/>
  <c r="E43" i="24"/>
  <c r="D43" i="24"/>
  <c r="D121" i="13"/>
  <c r="G120" i="13"/>
  <c r="G120" i="35"/>
  <c r="H120" i="35" s="1"/>
  <c r="I55" i="20"/>
  <c r="I39" i="13"/>
  <c r="H41" i="22"/>
  <c r="I41" i="22" s="1"/>
  <c r="H45" i="4"/>
  <c r="I45" i="4" s="1"/>
  <c r="J125" i="18"/>
  <c r="G44" i="18"/>
  <c r="I44" i="18" s="1"/>
  <c r="H42" i="21"/>
  <c r="I42" i="21" s="1"/>
  <c r="G44" i="19"/>
  <c r="I44" i="19" s="1"/>
  <c r="I41" i="28"/>
  <c r="I41" i="23"/>
  <c r="D47" i="3"/>
  <c r="E47" i="3"/>
  <c r="B37" i="37"/>
  <c r="F37" i="37"/>
  <c r="G37" i="37" s="1"/>
  <c r="B41" i="26"/>
  <c r="F41" i="26"/>
  <c r="H41" i="26" s="1"/>
  <c r="F42" i="23"/>
  <c r="H42" i="23" s="1"/>
  <c r="B42" i="23"/>
  <c r="G56" i="20"/>
  <c r="B57" i="20"/>
  <c r="E57" i="20"/>
  <c r="F57" i="20" s="1"/>
  <c r="H56" i="20"/>
  <c r="J126" i="4"/>
  <c r="F40" i="25"/>
  <c r="G40" i="25" s="1"/>
  <c r="B40" i="25"/>
  <c r="F39" i="29"/>
  <c r="H39" i="29" s="1"/>
  <c r="B38" i="34"/>
  <c r="F38" i="34"/>
  <c r="H38" i="34" s="1"/>
  <c r="G123" i="26"/>
  <c r="I123" i="26" s="1"/>
  <c r="B38" i="35"/>
  <c r="F38" i="35"/>
  <c r="G38" i="35" s="1"/>
  <c r="B42" i="27"/>
  <c r="F42" i="27"/>
  <c r="D46" i="4"/>
  <c r="E46" i="4"/>
  <c r="F42" i="28"/>
  <c r="H42" i="28" s="1"/>
  <c r="B42" i="28"/>
  <c r="B36" i="38"/>
  <c r="F36" i="38"/>
  <c r="H36" i="38" s="1"/>
  <c r="D42" i="22"/>
  <c r="E42" i="22"/>
  <c r="G46" i="3"/>
  <c r="I46" i="3" s="1"/>
  <c r="B38" i="31"/>
  <c r="F38" i="31"/>
  <c r="G38" i="31" s="1"/>
  <c r="I39" i="25"/>
  <c r="D45" i="18"/>
  <c r="E45" i="18"/>
  <c r="D43" i="21"/>
  <c r="E43" i="21"/>
  <c r="D45" i="19"/>
  <c r="E45" i="19"/>
  <c r="B40" i="13"/>
  <c r="F40" i="13"/>
  <c r="G40" i="13" s="1"/>
  <c r="G127" i="4"/>
  <c r="D128" i="4"/>
  <c r="B128" i="4" s="1"/>
  <c r="E121" i="35"/>
  <c r="F121" i="35" s="1"/>
  <c r="J119" i="34"/>
  <c r="D127" i="18"/>
  <c r="E127" i="18" s="1"/>
  <c r="G126" i="18"/>
  <c r="J119" i="35"/>
  <c r="J122" i="26"/>
  <c r="H124" i="28"/>
  <c r="I124" i="28"/>
  <c r="D120" i="37"/>
  <c r="G119" i="37"/>
  <c r="B123" i="25"/>
  <c r="B125" i="28"/>
  <c r="I122" i="25"/>
  <c r="H122" i="25"/>
  <c r="E125" i="28"/>
  <c r="F125" i="28" s="1"/>
  <c r="I120" i="31"/>
  <c r="H120" i="31"/>
  <c r="E123" i="25"/>
  <c r="F123" i="25" s="1"/>
  <c r="B124" i="26"/>
  <c r="E124" i="26"/>
  <c r="F124" i="26" s="1"/>
  <c r="J118" i="37"/>
  <c r="F121" i="31"/>
  <c r="B121" i="31"/>
  <c r="B121" i="35"/>
  <c r="J123" i="21"/>
  <c r="J123" i="27"/>
  <c r="F126" i="29"/>
  <c r="I125" i="29"/>
  <c r="H125" i="29"/>
  <c r="H126" i="19"/>
  <c r="I126" i="19"/>
  <c r="D125" i="21"/>
  <c r="E125" i="21" s="1"/>
  <c r="G124" i="21"/>
  <c r="J119" i="38"/>
  <c r="G120" i="38"/>
  <c r="D121" i="38"/>
  <c r="D125" i="27"/>
  <c r="E125" i="27" s="1"/>
  <c r="G124" i="27"/>
  <c r="G120" i="34"/>
  <c r="D121" i="34"/>
  <c r="E121" i="34"/>
  <c r="J123" i="24"/>
  <c r="D125" i="24"/>
  <c r="E125" i="24" s="1"/>
  <c r="G124" i="24"/>
  <c r="B127" i="19"/>
  <c r="F127" i="19"/>
  <c r="I123" i="22"/>
  <c r="H123" i="22"/>
  <c r="F129" i="23"/>
  <c r="H128" i="23"/>
  <c r="I128" i="23"/>
  <c r="B121" i="20"/>
  <c r="I120" i="20"/>
  <c r="H120" i="20"/>
  <c r="H127" i="3"/>
  <c r="I127" i="3"/>
  <c r="E121" i="20"/>
  <c r="F121" i="20" s="1"/>
  <c r="B128" i="3"/>
  <c r="F128" i="3"/>
  <c r="B124" i="22"/>
  <c r="F124" i="22"/>
  <c r="B43" i="24" l="1"/>
  <c r="F43" i="24"/>
  <c r="H43" i="24" s="1"/>
  <c r="I120" i="35"/>
  <c r="J120" i="35" s="1"/>
  <c r="H120" i="13"/>
  <c r="I120" i="13"/>
  <c r="E121" i="13"/>
  <c r="F121" i="13" s="1"/>
  <c r="B121" i="13"/>
  <c r="G41" i="26"/>
  <c r="I41" i="26" s="1"/>
  <c r="H123" i="26"/>
  <c r="J123" i="26" s="1"/>
  <c r="G42" i="28"/>
  <c r="I42" i="28" s="1"/>
  <c r="G38" i="34"/>
  <c r="I38" i="34" s="1"/>
  <c r="G39" i="29"/>
  <c r="I39" i="29" s="1"/>
  <c r="H38" i="31"/>
  <c r="I38" i="31" s="1"/>
  <c r="G36" i="38"/>
  <c r="I36" i="38" s="1"/>
  <c r="H40" i="13"/>
  <c r="I40" i="13" s="1"/>
  <c r="G42" i="23"/>
  <c r="I42" i="23" s="1"/>
  <c r="D43" i="27"/>
  <c r="E43" i="27"/>
  <c r="B42" i="22"/>
  <c r="F42" i="22"/>
  <c r="H42" i="27"/>
  <c r="D41" i="25"/>
  <c r="E41" i="25"/>
  <c r="E128" i="4"/>
  <c r="F128" i="4" s="1"/>
  <c r="G128" i="4" s="1"/>
  <c r="F45" i="19"/>
  <c r="H45" i="19" s="1"/>
  <c r="B45" i="19"/>
  <c r="D43" i="28"/>
  <c r="E43" i="28" s="1"/>
  <c r="D39" i="34"/>
  <c r="E39" i="34"/>
  <c r="H40" i="25"/>
  <c r="I40" i="25" s="1"/>
  <c r="D38" i="37"/>
  <c r="E38" i="37"/>
  <c r="D39" i="35"/>
  <c r="E39" i="35"/>
  <c r="E43" i="23"/>
  <c r="D43" i="23"/>
  <c r="F43" i="21"/>
  <c r="B43" i="21"/>
  <c r="F46" i="4"/>
  <c r="H46" i="4" s="1"/>
  <c r="B46" i="4"/>
  <c r="H38" i="35"/>
  <c r="I38" i="35" s="1"/>
  <c r="I56" i="20"/>
  <c r="H37" i="37"/>
  <c r="I37" i="37" s="1"/>
  <c r="D39" i="31"/>
  <c r="E39" i="31"/>
  <c r="D37" i="38"/>
  <c r="E37" i="38"/>
  <c r="D40" i="29"/>
  <c r="E40" i="29"/>
  <c r="E58" i="20"/>
  <c r="F58" i="20" s="1"/>
  <c r="B58" i="20"/>
  <c r="H57" i="20"/>
  <c r="G57" i="20"/>
  <c r="D41" i="13"/>
  <c r="B45" i="18"/>
  <c r="F45" i="18"/>
  <c r="G45" i="18" s="1"/>
  <c r="G42" i="27"/>
  <c r="D42" i="26"/>
  <c r="E42" i="26"/>
  <c r="B47" i="3"/>
  <c r="F47" i="3"/>
  <c r="G47" i="3" s="1"/>
  <c r="B127" i="18"/>
  <c r="F127" i="18"/>
  <c r="J124" i="28"/>
  <c r="H126" i="18"/>
  <c r="I126" i="18"/>
  <c r="J126" i="19"/>
  <c r="H127" i="4"/>
  <c r="I127" i="4"/>
  <c r="D126" i="28"/>
  <c r="E126" i="28" s="1"/>
  <c r="G125" i="28"/>
  <c r="G123" i="25"/>
  <c r="D124" i="25"/>
  <c r="G121" i="31"/>
  <c r="D122" i="31"/>
  <c r="J120" i="31"/>
  <c r="I119" i="37"/>
  <c r="H119" i="37"/>
  <c r="E120" i="37"/>
  <c r="F120" i="37" s="1"/>
  <c r="B120" i="37"/>
  <c r="G121" i="35"/>
  <c r="D122" i="35"/>
  <c r="J122" i="25"/>
  <c r="J127" i="3"/>
  <c r="J128" i="23"/>
  <c r="G124" i="26"/>
  <c r="D125" i="26"/>
  <c r="H124" i="24"/>
  <c r="I124" i="24"/>
  <c r="F121" i="34"/>
  <c r="B121" i="34"/>
  <c r="H120" i="38"/>
  <c r="I120" i="38"/>
  <c r="B121" i="38"/>
  <c r="B125" i="24"/>
  <c r="F125" i="24"/>
  <c r="H120" i="34"/>
  <c r="I120" i="34"/>
  <c r="E121" i="38"/>
  <c r="F121" i="38" s="1"/>
  <c r="I124" i="21"/>
  <c r="H124" i="21"/>
  <c r="F125" i="21"/>
  <c r="B125" i="21"/>
  <c r="J125" i="29"/>
  <c r="D128" i="19"/>
  <c r="E128" i="19" s="1"/>
  <c r="G127" i="19"/>
  <c r="H124" i="27"/>
  <c r="I124" i="27"/>
  <c r="F125" i="27"/>
  <c r="B125" i="27"/>
  <c r="D127" i="29"/>
  <c r="E127" i="29" s="1"/>
  <c r="G126" i="29"/>
  <c r="D122" i="20"/>
  <c r="E122" i="20" s="1"/>
  <c r="G121" i="20"/>
  <c r="D125" i="22"/>
  <c r="E125" i="22" s="1"/>
  <c r="G124" i="22"/>
  <c r="D129" i="3"/>
  <c r="G128" i="3"/>
  <c r="D130" i="23"/>
  <c r="G129" i="23"/>
  <c r="J120" i="20"/>
  <c r="J123" i="22"/>
  <c r="G46" i="4" l="1"/>
  <c r="J120" i="13"/>
  <c r="G43" i="24"/>
  <c r="I43" i="24" s="1"/>
  <c r="D44" i="24"/>
  <c r="E44" i="24"/>
  <c r="H45" i="18"/>
  <c r="I45" i="18" s="1"/>
  <c r="G121" i="13"/>
  <c r="D122" i="13"/>
  <c r="D129" i="4"/>
  <c r="B129" i="4" s="1"/>
  <c r="J124" i="27"/>
  <c r="I57" i="20"/>
  <c r="H47" i="3"/>
  <c r="I47" i="3" s="1"/>
  <c r="G45" i="19"/>
  <c r="I45" i="19" s="1"/>
  <c r="D44" i="21"/>
  <c r="E44" i="21"/>
  <c r="B41" i="13"/>
  <c r="F40" i="29"/>
  <c r="G40" i="29" s="1"/>
  <c r="F43" i="23"/>
  <c r="H43" i="23" s="1"/>
  <c r="B43" i="23"/>
  <c r="F39" i="34"/>
  <c r="H39" i="34" s="1"/>
  <c r="B39" i="34"/>
  <c r="E41" i="13"/>
  <c r="F41" i="13" s="1"/>
  <c r="B41" i="25"/>
  <c r="F41" i="25"/>
  <c r="G41" i="25" s="1"/>
  <c r="B42" i="26"/>
  <c r="F42" i="26"/>
  <c r="F37" i="38"/>
  <c r="B37" i="38"/>
  <c r="I46" i="4"/>
  <c r="F43" i="28"/>
  <c r="G43" i="28" s="1"/>
  <c r="B43" i="28"/>
  <c r="I42" i="27"/>
  <c r="D47" i="4"/>
  <c r="E47" i="4"/>
  <c r="F39" i="35"/>
  <c r="B39" i="35"/>
  <c r="D43" i="22"/>
  <c r="E43" i="22"/>
  <c r="B39" i="31"/>
  <c r="F39" i="31"/>
  <c r="G39" i="31" s="1"/>
  <c r="G43" i="21"/>
  <c r="J126" i="18"/>
  <c r="D46" i="18"/>
  <c r="E46" i="18"/>
  <c r="H43" i="21"/>
  <c r="B38" i="37"/>
  <c r="F38" i="37"/>
  <c r="G38" i="37" s="1"/>
  <c r="H42" i="22"/>
  <c r="D48" i="3"/>
  <c r="E48" i="3"/>
  <c r="G58" i="20"/>
  <c r="H58" i="20"/>
  <c r="E59" i="20"/>
  <c r="F59" i="20" s="1"/>
  <c r="B59" i="20"/>
  <c r="D46" i="19"/>
  <c r="E46" i="19"/>
  <c r="G42" i="22"/>
  <c r="B43" i="27"/>
  <c r="F43" i="27"/>
  <c r="G43" i="27" s="1"/>
  <c r="E129" i="4"/>
  <c r="J120" i="34"/>
  <c r="J120" i="38"/>
  <c r="H128" i="4"/>
  <c r="I128" i="4"/>
  <c r="J127" i="4"/>
  <c r="G127" i="18"/>
  <c r="D128" i="18"/>
  <c r="J124" i="24"/>
  <c r="E122" i="35"/>
  <c r="F122" i="35" s="1"/>
  <c r="B122" i="35"/>
  <c r="E122" i="31"/>
  <c r="F122" i="31" s="1"/>
  <c r="B122" i="31"/>
  <c r="H121" i="35"/>
  <c r="I121" i="35"/>
  <c r="I121" i="31"/>
  <c r="H121" i="31"/>
  <c r="B124" i="25"/>
  <c r="E125" i="26"/>
  <c r="F125" i="26" s="1"/>
  <c r="B125" i="26"/>
  <c r="G120" i="37"/>
  <c r="D121" i="37"/>
  <c r="B121" i="37" s="1"/>
  <c r="I123" i="25"/>
  <c r="H123" i="25"/>
  <c r="I124" i="26"/>
  <c r="H124" i="26"/>
  <c r="E124" i="25"/>
  <c r="F124" i="25" s="1"/>
  <c r="J119" i="37"/>
  <c r="I125" i="28"/>
  <c r="H125" i="28"/>
  <c r="B126" i="28"/>
  <c r="F126" i="28"/>
  <c r="H127" i="19"/>
  <c r="I127" i="19"/>
  <c r="J124" i="21"/>
  <c r="B128" i="19"/>
  <c r="F128" i="19"/>
  <c r="G121" i="38"/>
  <c r="D122" i="38"/>
  <c r="E122" i="38" s="1"/>
  <c r="F127" i="29"/>
  <c r="D126" i="24"/>
  <c r="G125" i="24"/>
  <c r="G125" i="27"/>
  <c r="D126" i="27"/>
  <c r="E126" i="27" s="1"/>
  <c r="H126" i="29"/>
  <c r="I126" i="29"/>
  <c r="D126" i="21"/>
  <c r="G125" i="21"/>
  <c r="D122" i="34"/>
  <c r="E122" i="34" s="1"/>
  <c r="G121" i="34"/>
  <c r="H128" i="3"/>
  <c r="I128" i="3"/>
  <c r="B129" i="3"/>
  <c r="H124" i="22"/>
  <c r="I124" i="22"/>
  <c r="E129" i="3"/>
  <c r="F129" i="3" s="1"/>
  <c r="E130" i="23"/>
  <c r="F130" i="23" s="1"/>
  <c r="F125" i="22"/>
  <c r="B125" i="22"/>
  <c r="H121" i="20"/>
  <c r="I121" i="20"/>
  <c r="H129" i="23"/>
  <c r="I129" i="23"/>
  <c r="F122" i="20"/>
  <c r="B122" i="20"/>
  <c r="F44" i="24" l="1"/>
  <c r="G44" i="24" s="1"/>
  <c r="B44" i="24"/>
  <c r="F129" i="4"/>
  <c r="D130" i="4" s="1"/>
  <c r="E122" i="13"/>
  <c r="F122" i="13" s="1"/>
  <c r="B122" i="13"/>
  <c r="I121" i="13"/>
  <c r="H121" i="13"/>
  <c r="J127" i="19"/>
  <c r="J128" i="3"/>
  <c r="H43" i="28"/>
  <c r="I43" i="28" s="1"/>
  <c r="I58" i="20"/>
  <c r="G39" i="34"/>
  <c r="I39" i="34" s="1"/>
  <c r="H41" i="25"/>
  <c r="I41" i="25" s="1"/>
  <c r="G43" i="23"/>
  <c r="I43" i="23" s="1"/>
  <c r="D42" i="13"/>
  <c r="H41" i="13"/>
  <c r="G41" i="13"/>
  <c r="B48" i="3"/>
  <c r="F48" i="3"/>
  <c r="B46" i="18"/>
  <c r="F46" i="18"/>
  <c r="B43" i="22"/>
  <c r="F43" i="22"/>
  <c r="H43" i="22" s="1"/>
  <c r="I42" i="22"/>
  <c r="D38" i="38"/>
  <c r="E38" i="38"/>
  <c r="B46" i="19"/>
  <c r="F46" i="19"/>
  <c r="H46" i="19" s="1"/>
  <c r="D40" i="35"/>
  <c r="E40" i="35"/>
  <c r="D43" i="26"/>
  <c r="E43" i="26"/>
  <c r="D39" i="37"/>
  <c r="E39" i="37"/>
  <c r="G39" i="35"/>
  <c r="H42" i="26"/>
  <c r="E44" i="23"/>
  <c r="D44" i="23"/>
  <c r="H59" i="20"/>
  <c r="E60" i="20"/>
  <c r="F60" i="20" s="1"/>
  <c r="B60" i="20"/>
  <c r="G59" i="20"/>
  <c r="D40" i="31"/>
  <c r="E40" i="31"/>
  <c r="H39" i="35"/>
  <c r="D44" i="28"/>
  <c r="E44" i="28" s="1"/>
  <c r="J125" i="28"/>
  <c r="D44" i="27"/>
  <c r="E44" i="27"/>
  <c r="H38" i="37"/>
  <c r="I38" i="37" s="1"/>
  <c r="G42" i="26"/>
  <c r="D41" i="29"/>
  <c r="E41" i="29"/>
  <c r="J128" i="4"/>
  <c r="H43" i="27"/>
  <c r="I43" i="27" s="1"/>
  <c r="I43" i="21"/>
  <c r="H39" i="31"/>
  <c r="I39" i="31" s="1"/>
  <c r="B47" i="4"/>
  <c r="F47" i="4"/>
  <c r="G47" i="4" s="1"/>
  <c r="G37" i="38"/>
  <c r="D42" i="25"/>
  <c r="E42" i="25"/>
  <c r="H40" i="29"/>
  <c r="I40" i="29" s="1"/>
  <c r="H37" i="38"/>
  <c r="D40" i="34"/>
  <c r="E40" i="34"/>
  <c r="B44" i="21"/>
  <c r="F44" i="21"/>
  <c r="G44" i="21" s="1"/>
  <c r="I127" i="18"/>
  <c r="H127" i="18"/>
  <c r="J121" i="35"/>
  <c r="E128" i="18"/>
  <c r="F128" i="18" s="1"/>
  <c r="B128" i="18"/>
  <c r="G124" i="25"/>
  <c r="D125" i="25"/>
  <c r="J124" i="22"/>
  <c r="I120" i="37"/>
  <c r="H120" i="37"/>
  <c r="D123" i="31"/>
  <c r="G122" i="31"/>
  <c r="G125" i="26"/>
  <c r="D126" i="26"/>
  <c r="J124" i="26"/>
  <c r="D127" i="28"/>
  <c r="G126" i="28"/>
  <c r="J123" i="25"/>
  <c r="D123" i="35"/>
  <c r="E123" i="35" s="1"/>
  <c r="G122" i="35"/>
  <c r="E121" i="37"/>
  <c r="F121" i="37" s="1"/>
  <c r="J121" i="31"/>
  <c r="J129" i="23"/>
  <c r="I125" i="21"/>
  <c r="H125" i="21"/>
  <c r="B126" i="21"/>
  <c r="D129" i="19"/>
  <c r="E129" i="19" s="1"/>
  <c r="G128" i="19"/>
  <c r="B126" i="24"/>
  <c r="B126" i="27"/>
  <c r="F126" i="27"/>
  <c r="H121" i="38"/>
  <c r="I121" i="38"/>
  <c r="F122" i="38"/>
  <c r="B122" i="38"/>
  <c r="I125" i="27"/>
  <c r="H125" i="27"/>
  <c r="H121" i="34"/>
  <c r="I121" i="34"/>
  <c r="B122" i="34"/>
  <c r="F122" i="34"/>
  <c r="E126" i="24"/>
  <c r="F126" i="24" s="1"/>
  <c r="E126" i="21"/>
  <c r="F126" i="21" s="1"/>
  <c r="J126" i="29"/>
  <c r="H125" i="24"/>
  <c r="I125" i="24"/>
  <c r="D128" i="29"/>
  <c r="E128" i="29" s="1"/>
  <c r="G127" i="29"/>
  <c r="G130" i="23"/>
  <c r="D131" i="23"/>
  <c r="G129" i="3"/>
  <c r="D130" i="3"/>
  <c r="E130" i="3" s="1"/>
  <c r="G125" i="22"/>
  <c r="D126" i="22"/>
  <c r="E126" i="22" s="1"/>
  <c r="D123" i="20"/>
  <c r="G122" i="20"/>
  <c r="J121" i="20"/>
  <c r="G129" i="4" l="1"/>
  <c r="I129" i="4" s="1"/>
  <c r="H44" i="24"/>
  <c r="I44" i="24" s="1"/>
  <c r="D45" i="24"/>
  <c r="E45" i="24"/>
  <c r="J121" i="13"/>
  <c r="D123" i="13"/>
  <c r="G122" i="13"/>
  <c r="J121" i="34"/>
  <c r="J121" i="38"/>
  <c r="H47" i="4"/>
  <c r="I47" i="4" s="1"/>
  <c r="D45" i="21"/>
  <c r="E45" i="21"/>
  <c r="B42" i="25"/>
  <c r="F42" i="25"/>
  <c r="I42" i="26"/>
  <c r="D44" i="22"/>
  <c r="E44" i="22"/>
  <c r="D49" i="3"/>
  <c r="E49" i="3"/>
  <c r="B40" i="31"/>
  <c r="F40" i="31"/>
  <c r="D47" i="19"/>
  <c r="E47" i="19"/>
  <c r="G43" i="22"/>
  <c r="I43" i="22" s="1"/>
  <c r="H48" i="3"/>
  <c r="B44" i="27"/>
  <c r="F44" i="27"/>
  <c r="H44" i="27" s="1"/>
  <c r="B39" i="37"/>
  <c r="F39" i="37"/>
  <c r="H39" i="37" s="1"/>
  <c r="G46" i="19"/>
  <c r="I46" i="19" s="1"/>
  <c r="G48" i="3"/>
  <c r="B40" i="34"/>
  <c r="F40" i="34"/>
  <c r="D48" i="4"/>
  <c r="E48" i="4"/>
  <c r="B61" i="20"/>
  <c r="H60" i="20"/>
  <c r="G60" i="20"/>
  <c r="E61" i="20"/>
  <c r="F61" i="20" s="1"/>
  <c r="D47" i="18"/>
  <c r="E47" i="18"/>
  <c r="I37" i="38"/>
  <c r="I59" i="20"/>
  <c r="F43" i="26"/>
  <c r="G43" i="26" s="1"/>
  <c r="B43" i="26"/>
  <c r="H46" i="18"/>
  <c r="I41" i="13"/>
  <c r="J127" i="18"/>
  <c r="F44" i="28"/>
  <c r="G44" i="28" s="1"/>
  <c r="B44" i="28"/>
  <c r="B44" i="23"/>
  <c r="F44" i="23"/>
  <c r="H44" i="23" s="1"/>
  <c r="F38" i="38"/>
  <c r="G38" i="38" s="1"/>
  <c r="B38" i="38"/>
  <c r="G46" i="18"/>
  <c r="B42" i="13"/>
  <c r="H44" i="21"/>
  <c r="I44" i="21" s="1"/>
  <c r="F41" i="29"/>
  <c r="H41" i="29" s="1"/>
  <c r="I39" i="35"/>
  <c r="F40" i="35"/>
  <c r="H40" i="35" s="1"/>
  <c r="B40" i="35"/>
  <c r="E42" i="13"/>
  <c r="F42" i="13" s="1"/>
  <c r="B130" i="4"/>
  <c r="G128" i="18"/>
  <c r="D129" i="18"/>
  <c r="E130" i="4"/>
  <c r="F130" i="4" s="1"/>
  <c r="I125" i="26"/>
  <c r="H125" i="26"/>
  <c r="B123" i="35"/>
  <c r="F123" i="35"/>
  <c r="I122" i="31"/>
  <c r="H122" i="31"/>
  <c r="E123" i="31"/>
  <c r="F123" i="31" s="1"/>
  <c r="B123" i="31"/>
  <c r="H126" i="28"/>
  <c r="I126" i="28"/>
  <c r="E127" i="28"/>
  <c r="F127" i="28" s="1"/>
  <c r="B127" i="28"/>
  <c r="J120" i="37"/>
  <c r="G121" i="37"/>
  <c r="D122" i="37"/>
  <c r="B122" i="37" s="1"/>
  <c r="B126" i="26"/>
  <c r="E125" i="25"/>
  <c r="F125" i="25" s="1"/>
  <c r="B125" i="25"/>
  <c r="H122" i="35"/>
  <c r="I122" i="35"/>
  <c r="E126" i="26"/>
  <c r="F126" i="26" s="1"/>
  <c r="H124" i="25"/>
  <c r="I124" i="25"/>
  <c r="D127" i="21"/>
  <c r="E127" i="21" s="1"/>
  <c r="G126" i="21"/>
  <c r="D127" i="24"/>
  <c r="E127" i="24" s="1"/>
  <c r="G126" i="24"/>
  <c r="J125" i="21"/>
  <c r="F129" i="19"/>
  <c r="B129" i="19"/>
  <c r="D127" i="27"/>
  <c r="E127" i="27" s="1"/>
  <c r="G126" i="27"/>
  <c r="H127" i="29"/>
  <c r="I127" i="29"/>
  <c r="J125" i="27"/>
  <c r="I128" i="19"/>
  <c r="H128" i="19"/>
  <c r="F128" i="29"/>
  <c r="J125" i="24"/>
  <c r="D123" i="34"/>
  <c r="E123" i="34" s="1"/>
  <c r="G122" i="34"/>
  <c r="G122" i="38"/>
  <c r="D123" i="38"/>
  <c r="E123" i="38" s="1"/>
  <c r="I122" i="20"/>
  <c r="H122" i="20"/>
  <c r="B123" i="20"/>
  <c r="H129" i="3"/>
  <c r="I129" i="3"/>
  <c r="B130" i="3"/>
  <c r="F130" i="3"/>
  <c r="B126" i="22"/>
  <c r="F126" i="22"/>
  <c r="H125" i="22"/>
  <c r="I125" i="22"/>
  <c r="H130" i="23"/>
  <c r="I130" i="23"/>
  <c r="E123" i="20"/>
  <c r="F123" i="20" s="1"/>
  <c r="E131" i="23"/>
  <c r="F131" i="23" s="1"/>
  <c r="H129" i="4" l="1"/>
  <c r="J129" i="4" s="1"/>
  <c r="J126" i="28"/>
  <c r="H44" i="28"/>
  <c r="B45" i="24"/>
  <c r="F45" i="24"/>
  <c r="G45" i="24" s="1"/>
  <c r="H122" i="13"/>
  <c r="I122" i="13"/>
  <c r="E123" i="13"/>
  <c r="F123" i="13" s="1"/>
  <c r="B123" i="13"/>
  <c r="G39" i="37"/>
  <c r="I39" i="37" s="1"/>
  <c r="G40" i="35"/>
  <c r="I40" i="35" s="1"/>
  <c r="H38" i="38"/>
  <c r="I38" i="38" s="1"/>
  <c r="H43" i="26"/>
  <c r="I43" i="26" s="1"/>
  <c r="I60" i="20"/>
  <c r="D43" i="13"/>
  <c r="G42" i="13"/>
  <c r="H42" i="13"/>
  <c r="E45" i="23"/>
  <c r="D45" i="23"/>
  <c r="D41" i="31"/>
  <c r="E41" i="31"/>
  <c r="F48" i="4"/>
  <c r="G48" i="4" s="1"/>
  <c r="B48" i="4"/>
  <c r="D43" i="25"/>
  <c r="E43" i="25"/>
  <c r="G44" i="23"/>
  <c r="I44" i="23" s="1"/>
  <c r="I46" i="18"/>
  <c r="D41" i="34"/>
  <c r="E41" i="34"/>
  <c r="D40" i="37"/>
  <c r="E40" i="37"/>
  <c r="H40" i="31"/>
  <c r="F47" i="18"/>
  <c r="G47" i="18" s="1"/>
  <c r="B47" i="18"/>
  <c r="G40" i="31"/>
  <c r="H42" i="25"/>
  <c r="D42" i="29"/>
  <c r="E42" i="29"/>
  <c r="I44" i="28"/>
  <c r="B62" i="20"/>
  <c r="G61" i="20"/>
  <c r="H61" i="20"/>
  <c r="E62" i="20"/>
  <c r="F62" i="20" s="1"/>
  <c r="H40" i="34"/>
  <c r="I48" i="3"/>
  <c r="G42" i="25"/>
  <c r="G41" i="29"/>
  <c r="I41" i="29" s="1"/>
  <c r="G40" i="34"/>
  <c r="D45" i="27"/>
  <c r="E45" i="27"/>
  <c r="B49" i="3"/>
  <c r="F49" i="3"/>
  <c r="E122" i="37"/>
  <c r="F122" i="37" s="1"/>
  <c r="D123" i="37" s="1"/>
  <c r="E123" i="37" s="1"/>
  <c r="D44" i="26"/>
  <c r="E44" i="26"/>
  <c r="F45" i="21"/>
  <c r="H45" i="21" s="1"/>
  <c r="B45" i="21"/>
  <c r="D41" i="35"/>
  <c r="E41" i="35"/>
  <c r="D39" i="38"/>
  <c r="E39" i="38"/>
  <c r="D45" i="28"/>
  <c r="E45" i="28" s="1"/>
  <c r="G44" i="27"/>
  <c r="I44" i="27" s="1"/>
  <c r="B47" i="19"/>
  <c r="F47" i="19"/>
  <c r="H47" i="19" s="1"/>
  <c r="B44" i="22"/>
  <c r="F44" i="22"/>
  <c r="D131" i="4"/>
  <c r="E131" i="4" s="1"/>
  <c r="G130" i="4"/>
  <c r="E129" i="18"/>
  <c r="F129" i="18" s="1"/>
  <c r="B129" i="18"/>
  <c r="H128" i="18"/>
  <c r="I128" i="18"/>
  <c r="J130" i="23"/>
  <c r="J124" i="25"/>
  <c r="G123" i="31"/>
  <c r="D124" i="31"/>
  <c r="E124" i="31"/>
  <c r="J129" i="3"/>
  <c r="I121" i="37"/>
  <c r="H121" i="37"/>
  <c r="G125" i="25"/>
  <c r="D126" i="25"/>
  <c r="J122" i="31"/>
  <c r="D128" i="28"/>
  <c r="E128" i="28"/>
  <c r="G127" i="28"/>
  <c r="G123" i="35"/>
  <c r="D124" i="35"/>
  <c r="E124" i="35" s="1"/>
  <c r="G126" i="26"/>
  <c r="D127" i="26"/>
  <c r="B127" i="26" s="1"/>
  <c r="J125" i="26"/>
  <c r="J122" i="35"/>
  <c r="J125" i="22"/>
  <c r="I122" i="34"/>
  <c r="H122" i="34"/>
  <c r="J127" i="29"/>
  <c r="H126" i="27"/>
  <c r="I126" i="27"/>
  <c r="B127" i="27"/>
  <c r="F127" i="27"/>
  <c r="I126" i="24"/>
  <c r="H126" i="24"/>
  <c r="G129" i="19"/>
  <c r="D130" i="19"/>
  <c r="E130" i="19" s="1"/>
  <c r="B127" i="24"/>
  <c r="F127" i="24"/>
  <c r="B123" i="34"/>
  <c r="F123" i="34"/>
  <c r="F123" i="38"/>
  <c r="B123" i="38"/>
  <c r="H126" i="21"/>
  <c r="I126" i="21"/>
  <c r="G128" i="29"/>
  <c r="D129" i="29"/>
  <c r="E129" i="29" s="1"/>
  <c r="H122" i="38"/>
  <c r="I122" i="38"/>
  <c r="J128" i="19"/>
  <c r="B127" i="21"/>
  <c r="F127" i="21"/>
  <c r="G123" i="20"/>
  <c r="D124" i="20"/>
  <c r="E124" i="20" s="1"/>
  <c r="G126" i="22"/>
  <c r="D127" i="22"/>
  <c r="E127" i="22" s="1"/>
  <c r="D132" i="23"/>
  <c r="G131" i="23"/>
  <c r="D131" i="3"/>
  <c r="E131" i="3" s="1"/>
  <c r="G130" i="3"/>
  <c r="J122" i="20"/>
  <c r="G122" i="37" l="1"/>
  <c r="H47" i="18"/>
  <c r="I47" i="18" s="1"/>
  <c r="H45" i="24"/>
  <c r="I45" i="24" s="1"/>
  <c r="D46" i="24"/>
  <c r="E46" i="24"/>
  <c r="J122" i="13"/>
  <c r="D124" i="13"/>
  <c r="G123" i="13"/>
  <c r="I42" i="13"/>
  <c r="I61" i="20"/>
  <c r="G45" i="21"/>
  <c r="I45" i="21" s="1"/>
  <c r="J128" i="18"/>
  <c r="I40" i="34"/>
  <c r="I40" i="31"/>
  <c r="B43" i="25"/>
  <c r="F43" i="25"/>
  <c r="G43" i="25" s="1"/>
  <c r="D48" i="19"/>
  <c r="E48" i="19"/>
  <c r="F41" i="35"/>
  <c r="B41" i="35"/>
  <c r="D50" i="3"/>
  <c r="E50" i="3" s="1"/>
  <c r="B45" i="23"/>
  <c r="F45" i="23"/>
  <c r="G45" i="23" s="1"/>
  <c r="G49" i="3"/>
  <c r="B40" i="37"/>
  <c r="F40" i="37"/>
  <c r="H40" i="37" s="1"/>
  <c r="D45" i="22"/>
  <c r="E45" i="22"/>
  <c r="H49" i="3"/>
  <c r="F42" i="29"/>
  <c r="D49" i="4"/>
  <c r="E49" i="4"/>
  <c r="G44" i="22"/>
  <c r="G62" i="20"/>
  <c r="H62" i="20"/>
  <c r="B63" i="20"/>
  <c r="E63" i="20"/>
  <c r="F63" i="20" s="1"/>
  <c r="I42" i="25"/>
  <c r="B41" i="34"/>
  <c r="F41" i="34"/>
  <c r="H41" i="34" s="1"/>
  <c r="H48" i="4"/>
  <c r="I48" i="4" s="1"/>
  <c r="H44" i="22"/>
  <c r="F45" i="28"/>
  <c r="H45" i="28" s="1"/>
  <c r="B45" i="28"/>
  <c r="D46" i="21"/>
  <c r="E46" i="21"/>
  <c r="D48" i="18"/>
  <c r="E48" i="18"/>
  <c r="B43" i="13"/>
  <c r="F45" i="27"/>
  <c r="B45" i="27"/>
  <c r="E43" i="13"/>
  <c r="F43" i="13" s="1"/>
  <c r="E127" i="26"/>
  <c r="F127" i="26" s="1"/>
  <c r="G47" i="19"/>
  <c r="I47" i="19" s="1"/>
  <c r="B39" i="38"/>
  <c r="F39" i="38"/>
  <c r="H39" i="38" s="1"/>
  <c r="B44" i="26"/>
  <c r="F44" i="26"/>
  <c r="G44" i="26" s="1"/>
  <c r="B41" i="31"/>
  <c r="F41" i="31"/>
  <c r="G129" i="18"/>
  <c r="D130" i="18"/>
  <c r="B130" i="18" s="1"/>
  <c r="I130" i="4"/>
  <c r="H130" i="4"/>
  <c r="J122" i="38"/>
  <c r="F131" i="4"/>
  <c r="B131" i="4"/>
  <c r="I126" i="26"/>
  <c r="H126" i="26"/>
  <c r="E126" i="25"/>
  <c r="F126" i="25" s="1"/>
  <c r="B126" i="25"/>
  <c r="H125" i="25"/>
  <c r="I125" i="25"/>
  <c r="B124" i="35"/>
  <c r="F124" i="35"/>
  <c r="J126" i="21"/>
  <c r="H122" i="37"/>
  <c r="I122" i="37"/>
  <c r="H123" i="35"/>
  <c r="I123" i="35"/>
  <c r="J121" i="37"/>
  <c r="I127" i="28"/>
  <c r="H127" i="28"/>
  <c r="B123" i="37"/>
  <c r="F123" i="37"/>
  <c r="B128" i="28"/>
  <c r="F128" i="28"/>
  <c r="B124" i="31"/>
  <c r="F124" i="31"/>
  <c r="H123" i="31"/>
  <c r="I123" i="31"/>
  <c r="J126" i="27"/>
  <c r="D124" i="34"/>
  <c r="E124" i="34" s="1"/>
  <c r="G123" i="34"/>
  <c r="G127" i="24"/>
  <c r="D128" i="24"/>
  <c r="E128" i="24" s="1"/>
  <c r="D124" i="38"/>
  <c r="E124" i="38" s="1"/>
  <c r="G123" i="38"/>
  <c r="F129" i="29"/>
  <c r="J122" i="34"/>
  <c r="I128" i="29"/>
  <c r="H128" i="29"/>
  <c r="B130" i="19"/>
  <c r="F130" i="19"/>
  <c r="J126" i="24"/>
  <c r="I129" i="19"/>
  <c r="H129" i="19"/>
  <c r="D128" i="27"/>
  <c r="E128" i="27" s="1"/>
  <c r="G127" i="27"/>
  <c r="G127" i="21"/>
  <c r="D128" i="21"/>
  <c r="E128" i="21" s="1"/>
  <c r="H126" i="22"/>
  <c r="I126" i="22"/>
  <c r="H131" i="23"/>
  <c r="I131" i="23"/>
  <c r="B127" i="22"/>
  <c r="F127" i="22"/>
  <c r="B124" i="20"/>
  <c r="F124" i="20"/>
  <c r="H130" i="3"/>
  <c r="I130" i="3"/>
  <c r="B131" i="3"/>
  <c r="F131" i="3"/>
  <c r="E132" i="23"/>
  <c r="F132" i="23" s="1"/>
  <c r="H123" i="20"/>
  <c r="I123" i="20"/>
  <c r="B46" i="24" l="1"/>
  <c r="F46" i="24"/>
  <c r="H46" i="24" s="1"/>
  <c r="H123" i="13"/>
  <c r="I123" i="13"/>
  <c r="J123" i="13" s="1"/>
  <c r="E124" i="13"/>
  <c r="F124" i="13" s="1"/>
  <c r="B124" i="13"/>
  <c r="J130" i="4"/>
  <c r="G45" i="28"/>
  <c r="I45" i="28" s="1"/>
  <c r="G41" i="34"/>
  <c r="I41" i="34" s="1"/>
  <c r="G39" i="38"/>
  <c r="I39" i="38" s="1"/>
  <c r="I62" i="20"/>
  <c r="D44" i="13"/>
  <c r="E44" i="13" s="1"/>
  <c r="H43" i="13"/>
  <c r="G43" i="13"/>
  <c r="D46" i="27"/>
  <c r="E46" i="27"/>
  <c r="F46" i="21"/>
  <c r="G46" i="21" s="1"/>
  <c r="B46" i="21"/>
  <c r="D42" i="35"/>
  <c r="E42" i="35"/>
  <c r="E130" i="18"/>
  <c r="F130" i="18" s="1"/>
  <c r="G130" i="18" s="1"/>
  <c r="D45" i="26"/>
  <c r="E45" i="26"/>
  <c r="G127" i="26"/>
  <c r="D128" i="26"/>
  <c r="F45" i="22"/>
  <c r="H45" i="22" s="1"/>
  <c r="B45" i="22"/>
  <c r="D46" i="23"/>
  <c r="E46" i="23"/>
  <c r="B48" i="19"/>
  <c r="F48" i="19"/>
  <c r="G48" i="19" s="1"/>
  <c r="J123" i="31"/>
  <c r="H44" i="26"/>
  <c r="I44" i="26" s="1"/>
  <c r="D46" i="28"/>
  <c r="E46" i="28" s="1"/>
  <c r="B49" i="4"/>
  <c r="F49" i="4"/>
  <c r="D41" i="37"/>
  <c r="E41" i="37"/>
  <c r="D42" i="31"/>
  <c r="E42" i="31"/>
  <c r="G63" i="20"/>
  <c r="B64" i="20"/>
  <c r="H63" i="20"/>
  <c r="E64" i="20"/>
  <c r="F64" i="20" s="1"/>
  <c r="D43" i="29"/>
  <c r="E43" i="29"/>
  <c r="B50" i="3"/>
  <c r="F50" i="3"/>
  <c r="H50" i="3" s="1"/>
  <c r="D44" i="25"/>
  <c r="E44" i="25"/>
  <c r="J127" i="28"/>
  <c r="H41" i="31"/>
  <c r="G45" i="27"/>
  <c r="I44" i="22"/>
  <c r="G42" i="29"/>
  <c r="G40" i="37"/>
  <c r="I40" i="37" s="1"/>
  <c r="H41" i="35"/>
  <c r="H43" i="25"/>
  <c r="I43" i="25" s="1"/>
  <c r="D40" i="38"/>
  <c r="E40" i="38"/>
  <c r="H45" i="27"/>
  <c r="I45" i="27" s="1"/>
  <c r="B48" i="18"/>
  <c r="F48" i="18"/>
  <c r="H42" i="29"/>
  <c r="J130" i="3"/>
  <c r="J123" i="35"/>
  <c r="G41" i="31"/>
  <c r="D42" i="34"/>
  <c r="E42" i="34"/>
  <c r="I49" i="3"/>
  <c r="H45" i="23"/>
  <c r="I45" i="23" s="1"/>
  <c r="G41" i="35"/>
  <c r="J125" i="25"/>
  <c r="D132" i="4"/>
  <c r="G131" i="4"/>
  <c r="J122" i="37"/>
  <c r="I129" i="18"/>
  <c r="H129" i="18"/>
  <c r="G124" i="31"/>
  <c r="D125" i="31"/>
  <c r="G128" i="28"/>
  <c r="D129" i="28"/>
  <c r="E129" i="28" s="1"/>
  <c r="D127" i="25"/>
  <c r="E127" i="25" s="1"/>
  <c r="G126" i="25"/>
  <c r="G123" i="37"/>
  <c r="D124" i="37"/>
  <c r="D125" i="35"/>
  <c r="G124" i="35"/>
  <c r="J126" i="26"/>
  <c r="J129" i="19"/>
  <c r="J128" i="29"/>
  <c r="H123" i="34"/>
  <c r="I123" i="34"/>
  <c r="H123" i="38"/>
  <c r="I123" i="38"/>
  <c r="F124" i="34"/>
  <c r="B124" i="34"/>
  <c r="B124" i="38"/>
  <c r="F124" i="38"/>
  <c r="I127" i="27"/>
  <c r="H127" i="27"/>
  <c r="G129" i="29"/>
  <c r="D130" i="29"/>
  <c r="B128" i="21"/>
  <c r="F128" i="21"/>
  <c r="F128" i="27"/>
  <c r="B128" i="27"/>
  <c r="G130" i="19"/>
  <c r="D131" i="19"/>
  <c r="F128" i="24"/>
  <c r="B128" i="24"/>
  <c r="J131" i="23"/>
  <c r="H127" i="21"/>
  <c r="I127" i="21"/>
  <c r="I127" i="24"/>
  <c r="H127" i="24"/>
  <c r="G131" i="3"/>
  <c r="D132" i="3"/>
  <c r="J123" i="20"/>
  <c r="G132" i="23"/>
  <c r="D133" i="23"/>
  <c r="E133" i="23" s="1"/>
  <c r="D128" i="22"/>
  <c r="G127" i="22"/>
  <c r="D125" i="20"/>
  <c r="E125" i="20" s="1"/>
  <c r="G124" i="20"/>
  <c r="J126" i="22"/>
  <c r="G46" i="24" l="1"/>
  <c r="I46" i="24" s="1"/>
  <c r="E47" i="24"/>
  <c r="D47" i="24"/>
  <c r="D131" i="18"/>
  <c r="B131" i="18" s="1"/>
  <c r="G124" i="13"/>
  <c r="D125" i="13"/>
  <c r="B125" i="13" s="1"/>
  <c r="I41" i="35"/>
  <c r="G45" i="22"/>
  <c r="I45" i="22" s="1"/>
  <c r="I63" i="20"/>
  <c r="D49" i="18"/>
  <c r="E49" i="18"/>
  <c r="B44" i="25"/>
  <c r="F44" i="25"/>
  <c r="G44" i="25" s="1"/>
  <c r="B42" i="31"/>
  <c r="F42" i="31"/>
  <c r="F46" i="28"/>
  <c r="G46" i="28" s="1"/>
  <c r="B46" i="28"/>
  <c r="I127" i="26"/>
  <c r="H127" i="26"/>
  <c r="H48" i="18"/>
  <c r="D47" i="21"/>
  <c r="E47" i="21"/>
  <c r="D51" i="3"/>
  <c r="E51" i="3"/>
  <c r="F41" i="37"/>
  <c r="G41" i="37" s="1"/>
  <c r="B41" i="37"/>
  <c r="F46" i="23"/>
  <c r="G46" i="23" s="1"/>
  <c r="B46" i="23"/>
  <c r="B45" i="26"/>
  <c r="F45" i="26"/>
  <c r="H45" i="26" s="1"/>
  <c r="F42" i="34"/>
  <c r="H42" i="34" s="1"/>
  <c r="B42" i="34"/>
  <c r="G48" i="18"/>
  <c r="G50" i="3"/>
  <c r="I50" i="3" s="1"/>
  <c r="D50" i="4"/>
  <c r="E50" i="4"/>
  <c r="B46" i="27"/>
  <c r="F46" i="27"/>
  <c r="D49" i="19"/>
  <c r="E49" i="19"/>
  <c r="I41" i="31"/>
  <c r="G49" i="4"/>
  <c r="H48" i="19"/>
  <c r="I48" i="19" s="1"/>
  <c r="B42" i="35"/>
  <c r="F42" i="35"/>
  <c r="G42" i="35" s="1"/>
  <c r="I43" i="13"/>
  <c r="F40" i="38"/>
  <c r="H40" i="38" s="1"/>
  <c r="B40" i="38"/>
  <c r="F43" i="29"/>
  <c r="H43" i="29" s="1"/>
  <c r="H49" i="4"/>
  <c r="D46" i="22"/>
  <c r="E46" i="22"/>
  <c r="H46" i="21"/>
  <c r="I46" i="21" s="1"/>
  <c r="I42" i="29"/>
  <c r="E65" i="20"/>
  <c r="F65" i="20" s="1"/>
  <c r="B65" i="20"/>
  <c r="G64" i="20"/>
  <c r="H64" i="20"/>
  <c r="B128" i="26"/>
  <c r="E128" i="26"/>
  <c r="F128" i="26" s="1"/>
  <c r="B44" i="13"/>
  <c r="F44" i="13"/>
  <c r="G44" i="13" s="1"/>
  <c r="H130" i="18"/>
  <c r="I130" i="18"/>
  <c r="E131" i="18"/>
  <c r="J129" i="18"/>
  <c r="J127" i="21"/>
  <c r="H131" i="4"/>
  <c r="I131" i="4"/>
  <c r="E132" i="4"/>
  <c r="F132" i="4" s="1"/>
  <c r="B132" i="4"/>
  <c r="I126" i="25"/>
  <c r="H126" i="25"/>
  <c r="B127" i="25"/>
  <c r="F127" i="25"/>
  <c r="I124" i="35"/>
  <c r="H124" i="35"/>
  <c r="F129" i="28"/>
  <c r="B129" i="28"/>
  <c r="E125" i="35"/>
  <c r="F125" i="35" s="1"/>
  <c r="B125" i="35"/>
  <c r="I128" i="28"/>
  <c r="H128" i="28"/>
  <c r="E124" i="37"/>
  <c r="F124" i="37" s="1"/>
  <c r="B124" i="37"/>
  <c r="E125" i="31"/>
  <c r="F125" i="31" s="1"/>
  <c r="B125" i="31"/>
  <c r="J123" i="38"/>
  <c r="H123" i="37"/>
  <c r="I123" i="37"/>
  <c r="I124" i="31"/>
  <c r="H124" i="31"/>
  <c r="J127" i="27"/>
  <c r="I129" i="29"/>
  <c r="H129" i="29"/>
  <c r="G128" i="21"/>
  <c r="D129" i="21"/>
  <c r="E129" i="21" s="1"/>
  <c r="G124" i="34"/>
  <c r="D125" i="34"/>
  <c r="E125" i="34" s="1"/>
  <c r="B131" i="19"/>
  <c r="H130" i="19"/>
  <c r="I130" i="19"/>
  <c r="J127" i="24"/>
  <c r="E131" i="19"/>
  <c r="F131" i="19" s="1"/>
  <c r="D125" i="38"/>
  <c r="E125" i="38" s="1"/>
  <c r="G124" i="38"/>
  <c r="J123" i="34"/>
  <c r="D129" i="24"/>
  <c r="E129" i="24" s="1"/>
  <c r="G128" i="24"/>
  <c r="G128" i="27"/>
  <c r="D129" i="27"/>
  <c r="E129" i="27" s="1"/>
  <c r="E130" i="29"/>
  <c r="F130" i="29" s="1"/>
  <c r="B128" i="22"/>
  <c r="F133" i="23"/>
  <c r="H124" i="20"/>
  <c r="I124" i="20"/>
  <c r="H132" i="23"/>
  <c r="I132" i="23"/>
  <c r="B132" i="3"/>
  <c r="I127" i="22"/>
  <c r="H127" i="22"/>
  <c r="E128" i="22"/>
  <c r="F128" i="22" s="1"/>
  <c r="H131" i="3"/>
  <c r="I131" i="3"/>
  <c r="F125" i="20"/>
  <c r="B125" i="20"/>
  <c r="E132" i="3"/>
  <c r="F132" i="3" s="1"/>
  <c r="H46" i="28" l="1"/>
  <c r="F131" i="18"/>
  <c r="G131" i="18" s="1"/>
  <c r="E125" i="13"/>
  <c r="F125" i="13" s="1"/>
  <c r="D126" i="13" s="1"/>
  <c r="E126" i="13" s="1"/>
  <c r="B47" i="24"/>
  <c r="F47" i="24"/>
  <c r="G47" i="24" s="1"/>
  <c r="G45" i="26"/>
  <c r="J131" i="3"/>
  <c r="H124" i="13"/>
  <c r="I124" i="13"/>
  <c r="J127" i="26"/>
  <c r="J132" i="23"/>
  <c r="H44" i="13"/>
  <c r="I44" i="13" s="1"/>
  <c r="I64" i="20"/>
  <c r="I49" i="4"/>
  <c r="G40" i="38"/>
  <c r="I40" i="38" s="1"/>
  <c r="G42" i="34"/>
  <c r="I42" i="34" s="1"/>
  <c r="H46" i="23"/>
  <c r="I46" i="23" s="1"/>
  <c r="J130" i="18"/>
  <c r="I45" i="26"/>
  <c r="H42" i="35"/>
  <c r="I42" i="35" s="1"/>
  <c r="G65" i="20"/>
  <c r="E66" i="20"/>
  <c r="F66" i="20" s="1"/>
  <c r="B66" i="20"/>
  <c r="H65" i="20"/>
  <c r="D43" i="31"/>
  <c r="E43" i="31"/>
  <c r="D44" i="29"/>
  <c r="E44" i="29"/>
  <c r="D42" i="37"/>
  <c r="E42" i="37"/>
  <c r="D47" i="27"/>
  <c r="E47" i="27"/>
  <c r="D129" i="26"/>
  <c r="G128" i="26"/>
  <c r="H46" i="27"/>
  <c r="B51" i="3"/>
  <c r="F51" i="3"/>
  <c r="H51" i="3" s="1"/>
  <c r="I46" i="28"/>
  <c r="D45" i="25"/>
  <c r="E45" i="25"/>
  <c r="F46" i="22"/>
  <c r="H46" i="22" s="1"/>
  <c r="B46" i="22"/>
  <c r="G46" i="27"/>
  <c r="H44" i="25"/>
  <c r="I44" i="25" s="1"/>
  <c r="D41" i="38"/>
  <c r="E41" i="38"/>
  <c r="D43" i="34"/>
  <c r="E43" i="34"/>
  <c r="D47" i="23"/>
  <c r="E47" i="23"/>
  <c r="B47" i="21"/>
  <c r="F47" i="21"/>
  <c r="G47" i="21" s="1"/>
  <c r="D47" i="28"/>
  <c r="E47" i="28" s="1"/>
  <c r="J123" i="37"/>
  <c r="G42" i="31"/>
  <c r="D45" i="13"/>
  <c r="E45" i="13" s="1"/>
  <c r="G43" i="29"/>
  <c r="I43" i="29" s="1"/>
  <c r="D43" i="35"/>
  <c r="E43" i="35"/>
  <c r="F49" i="19"/>
  <c r="H49" i="19" s="1"/>
  <c r="B49" i="19"/>
  <c r="F50" i="4"/>
  <c r="G50" i="4" s="1"/>
  <c r="B50" i="4"/>
  <c r="D46" i="26"/>
  <c r="E46" i="26"/>
  <c r="H41" i="37"/>
  <c r="I41" i="37" s="1"/>
  <c r="I48" i="18"/>
  <c r="H42" i="31"/>
  <c r="F49" i="18"/>
  <c r="H49" i="18" s="1"/>
  <c r="B49" i="18"/>
  <c r="D133" i="4"/>
  <c r="G132" i="4"/>
  <c r="J130" i="19"/>
  <c r="J131" i="4"/>
  <c r="J124" i="31"/>
  <c r="G124" i="37"/>
  <c r="D125" i="37"/>
  <c r="D130" i="28"/>
  <c r="G129" i="28"/>
  <c r="J124" i="35"/>
  <c r="J128" i="28"/>
  <c r="G127" i="25"/>
  <c r="D128" i="25"/>
  <c r="B128" i="25" s="1"/>
  <c r="D126" i="35"/>
  <c r="E126" i="35" s="1"/>
  <c r="G125" i="35"/>
  <c r="G125" i="31"/>
  <c r="D126" i="31"/>
  <c r="J126" i="25"/>
  <c r="J124" i="20"/>
  <c r="D131" i="29"/>
  <c r="E131" i="29" s="1"/>
  <c r="G130" i="29"/>
  <c r="J129" i="29"/>
  <c r="B126" i="13"/>
  <c r="F129" i="27"/>
  <c r="B129" i="27"/>
  <c r="H128" i="27"/>
  <c r="I128" i="27"/>
  <c r="I128" i="24"/>
  <c r="H128" i="24"/>
  <c r="H124" i="38"/>
  <c r="I124" i="38"/>
  <c r="I124" i="34"/>
  <c r="H124" i="34"/>
  <c r="B129" i="24"/>
  <c r="F129" i="24"/>
  <c r="B125" i="38"/>
  <c r="F125" i="38"/>
  <c r="B129" i="21"/>
  <c r="F129" i="21"/>
  <c r="D132" i="19"/>
  <c r="E132" i="19" s="1"/>
  <c r="G131" i="19"/>
  <c r="B125" i="34"/>
  <c r="F125" i="34"/>
  <c r="I128" i="21"/>
  <c r="H128" i="21"/>
  <c r="G128" i="22"/>
  <c r="D129" i="22"/>
  <c r="E129" i="22" s="1"/>
  <c r="D134" i="23"/>
  <c r="G133" i="23"/>
  <c r="J127" i="22"/>
  <c r="G125" i="20"/>
  <c r="D126" i="20"/>
  <c r="D133" i="3"/>
  <c r="E133" i="3" s="1"/>
  <c r="G132" i="3"/>
  <c r="F126" i="13" l="1"/>
  <c r="G125" i="13"/>
  <c r="H125" i="13" s="1"/>
  <c r="D132" i="18"/>
  <c r="E132" i="18" s="1"/>
  <c r="I42" i="31"/>
  <c r="H47" i="24"/>
  <c r="I47" i="24" s="1"/>
  <c r="I125" i="13"/>
  <c r="J125" i="13" s="1"/>
  <c r="D48" i="24"/>
  <c r="E48" i="24"/>
  <c r="J124" i="13"/>
  <c r="J128" i="27"/>
  <c r="H50" i="4"/>
  <c r="I50" i="4" s="1"/>
  <c r="I65" i="20"/>
  <c r="G46" i="22"/>
  <c r="I46" i="22" s="1"/>
  <c r="I46" i="27"/>
  <c r="F47" i="23"/>
  <c r="H47" i="23" s="1"/>
  <c r="B47" i="23"/>
  <c r="B46" i="26"/>
  <c r="F46" i="26"/>
  <c r="D50" i="19"/>
  <c r="E50" i="19" s="1"/>
  <c r="B42" i="37"/>
  <c r="F42" i="37"/>
  <c r="G42" i="37" s="1"/>
  <c r="G49" i="18"/>
  <c r="I49" i="18" s="1"/>
  <c r="F47" i="28"/>
  <c r="G47" i="28" s="1"/>
  <c r="B47" i="28"/>
  <c r="B43" i="34"/>
  <c r="F43" i="34"/>
  <c r="H43" i="34" s="1"/>
  <c r="D47" i="22"/>
  <c r="E47" i="22"/>
  <c r="B43" i="35"/>
  <c r="F43" i="35"/>
  <c r="H43" i="35" s="1"/>
  <c r="D48" i="21"/>
  <c r="E48" i="21"/>
  <c r="H128" i="26"/>
  <c r="I128" i="26"/>
  <c r="F44" i="29"/>
  <c r="D50" i="18"/>
  <c r="E50" i="18" s="1"/>
  <c r="B41" i="38"/>
  <c r="F41" i="38"/>
  <c r="B45" i="25"/>
  <c r="F45" i="25"/>
  <c r="E129" i="26"/>
  <c r="F129" i="26" s="1"/>
  <c r="B129" i="26"/>
  <c r="D51" i="4"/>
  <c r="E51" i="4" s="1"/>
  <c r="H47" i="21"/>
  <c r="I47" i="21" s="1"/>
  <c r="G49" i="19"/>
  <c r="I49" i="19" s="1"/>
  <c r="F45" i="13"/>
  <c r="H45" i="13" s="1"/>
  <c r="B45" i="13"/>
  <c r="D52" i="3"/>
  <c r="E52" i="3"/>
  <c r="B43" i="31"/>
  <c r="F43" i="31"/>
  <c r="H43" i="31" s="1"/>
  <c r="G66" i="20"/>
  <c r="B67" i="20"/>
  <c r="E67" i="20"/>
  <c r="F67" i="20" s="1"/>
  <c r="H66" i="20"/>
  <c r="E128" i="25"/>
  <c r="F128" i="25" s="1"/>
  <c r="G128" i="25" s="1"/>
  <c r="G51" i="3"/>
  <c r="I51" i="3" s="1"/>
  <c r="B47" i="27"/>
  <c r="F47" i="27"/>
  <c r="H47" i="27" s="1"/>
  <c r="B133" i="4"/>
  <c r="E133" i="4"/>
  <c r="F133" i="4" s="1"/>
  <c r="H132" i="4"/>
  <c r="I132" i="4"/>
  <c r="H131" i="18"/>
  <c r="I131" i="18"/>
  <c r="I127" i="25"/>
  <c r="H127" i="25"/>
  <c r="E126" i="31"/>
  <c r="F126" i="31" s="1"/>
  <c r="B126" i="31"/>
  <c r="H125" i="31"/>
  <c r="I125" i="31"/>
  <c r="H125" i="35"/>
  <c r="I125" i="35"/>
  <c r="I129" i="28"/>
  <c r="H129" i="28"/>
  <c r="B130" i="28"/>
  <c r="E130" i="28"/>
  <c r="F130" i="28" s="1"/>
  <c r="B126" i="35"/>
  <c r="F126" i="35"/>
  <c r="B125" i="37"/>
  <c r="E125" i="37"/>
  <c r="F125" i="37" s="1"/>
  <c r="I124" i="37"/>
  <c r="H124" i="37"/>
  <c r="J124" i="34"/>
  <c r="J124" i="38"/>
  <c r="J128" i="21"/>
  <c r="D130" i="21"/>
  <c r="E130" i="21" s="1"/>
  <c r="G129" i="21"/>
  <c r="I131" i="19"/>
  <c r="H131" i="19"/>
  <c r="G125" i="38"/>
  <c r="D126" i="38"/>
  <c r="E126" i="38" s="1"/>
  <c r="D130" i="24"/>
  <c r="E130" i="24" s="1"/>
  <c r="G129" i="24"/>
  <c r="G129" i="27"/>
  <c r="D130" i="27"/>
  <c r="E130" i="27" s="1"/>
  <c r="F132" i="19"/>
  <c r="B132" i="19"/>
  <c r="H130" i="29"/>
  <c r="I130" i="29"/>
  <c r="G125" i="34"/>
  <c r="D126" i="34"/>
  <c r="E126" i="34" s="1"/>
  <c r="J128" i="24"/>
  <c r="G126" i="13"/>
  <c r="D127" i="13"/>
  <c r="E127" i="13" s="1"/>
  <c r="F131" i="29"/>
  <c r="B129" i="22"/>
  <c r="F129" i="22"/>
  <c r="H125" i="20"/>
  <c r="I125" i="20"/>
  <c r="I128" i="22"/>
  <c r="H128" i="22"/>
  <c r="B126" i="20"/>
  <c r="E134" i="23"/>
  <c r="F134" i="23" s="1"/>
  <c r="I132" i="3"/>
  <c r="H132" i="3"/>
  <c r="E126" i="20"/>
  <c r="F126" i="20" s="1"/>
  <c r="F133" i="3"/>
  <c r="B133" i="3"/>
  <c r="H133" i="23"/>
  <c r="I133" i="23"/>
  <c r="D129" i="25" l="1"/>
  <c r="B132" i="18"/>
  <c r="F132" i="18"/>
  <c r="F48" i="24"/>
  <c r="G48" i="24" s="1"/>
  <c r="B48" i="24"/>
  <c r="G47" i="23"/>
  <c r="I47" i="23" s="1"/>
  <c r="G43" i="34"/>
  <c r="I43" i="34" s="1"/>
  <c r="H47" i="28"/>
  <c r="I47" i="28" s="1"/>
  <c r="G43" i="31"/>
  <c r="I43" i="31" s="1"/>
  <c r="J132" i="4"/>
  <c r="G45" i="13"/>
  <c r="I45" i="13" s="1"/>
  <c r="I66" i="20"/>
  <c r="D42" i="38"/>
  <c r="E42" i="38"/>
  <c r="D45" i="29"/>
  <c r="E45" i="29"/>
  <c r="J131" i="19"/>
  <c r="G67" i="20"/>
  <c r="B68" i="20"/>
  <c r="H67" i="20"/>
  <c r="E68" i="20"/>
  <c r="F68" i="20" s="1"/>
  <c r="B52" i="3"/>
  <c r="F52" i="3"/>
  <c r="B51" i="4"/>
  <c r="F51" i="4"/>
  <c r="G41" i="38"/>
  <c r="J128" i="26"/>
  <c r="D43" i="37"/>
  <c r="E43" i="37"/>
  <c r="J131" i="18"/>
  <c r="D48" i="27"/>
  <c r="E48" i="27"/>
  <c r="D130" i="26"/>
  <c r="G129" i="26"/>
  <c r="H41" i="38"/>
  <c r="D48" i="28"/>
  <c r="E48" i="28" s="1"/>
  <c r="D46" i="25"/>
  <c r="E46" i="25"/>
  <c r="B48" i="21"/>
  <c r="F48" i="21"/>
  <c r="F47" i="22"/>
  <c r="G47" i="22" s="1"/>
  <c r="B47" i="22"/>
  <c r="B50" i="19"/>
  <c r="F50" i="19"/>
  <c r="G50" i="19" s="1"/>
  <c r="G47" i="27"/>
  <c r="I47" i="27" s="1"/>
  <c r="D46" i="13"/>
  <c r="E46" i="13" s="1"/>
  <c r="H45" i="25"/>
  <c r="B50" i="18"/>
  <c r="F50" i="18"/>
  <c r="H50" i="18" s="1"/>
  <c r="D44" i="35"/>
  <c r="E44" i="35"/>
  <c r="D47" i="26"/>
  <c r="E47" i="26"/>
  <c r="D48" i="23"/>
  <c r="E48" i="23" s="1"/>
  <c r="D44" i="31"/>
  <c r="E44" i="31"/>
  <c r="H44" i="29"/>
  <c r="G46" i="26"/>
  <c r="G45" i="25"/>
  <c r="G44" i="29"/>
  <c r="G43" i="35"/>
  <c r="I43" i="35" s="1"/>
  <c r="D44" i="34"/>
  <c r="E44" i="34"/>
  <c r="H42" i="37"/>
  <c r="I42" i="37" s="1"/>
  <c r="H46" i="26"/>
  <c r="J125" i="31"/>
  <c r="D133" i="18"/>
  <c r="G132" i="18"/>
  <c r="D134" i="4"/>
  <c r="G133" i="4"/>
  <c r="J133" i="23"/>
  <c r="D131" i="28"/>
  <c r="E131" i="28" s="1"/>
  <c r="G130" i="28"/>
  <c r="D126" i="37"/>
  <c r="E126" i="37" s="1"/>
  <c r="G125" i="37"/>
  <c r="J130" i="29"/>
  <c r="G126" i="35"/>
  <c r="D127" i="35"/>
  <c r="J125" i="20"/>
  <c r="J124" i="37"/>
  <c r="E129" i="25"/>
  <c r="F129" i="25" s="1"/>
  <c r="B129" i="25"/>
  <c r="G126" i="31"/>
  <c r="D127" i="31"/>
  <c r="H128" i="25"/>
  <c r="I128" i="25"/>
  <c r="J129" i="28"/>
  <c r="J125" i="35"/>
  <c r="J127" i="25"/>
  <c r="F130" i="27"/>
  <c r="B130" i="27"/>
  <c r="I129" i="27"/>
  <c r="H129" i="27"/>
  <c r="B126" i="34"/>
  <c r="F126" i="34"/>
  <c r="H125" i="38"/>
  <c r="I125" i="38"/>
  <c r="D132" i="29"/>
  <c r="G131" i="29"/>
  <c r="H125" i="34"/>
  <c r="I125" i="34"/>
  <c r="I129" i="24"/>
  <c r="H129" i="24"/>
  <c r="J128" i="22"/>
  <c r="D133" i="19"/>
  <c r="E133" i="19" s="1"/>
  <c r="G132" i="19"/>
  <c r="B130" i="24"/>
  <c r="F130" i="24"/>
  <c r="H129" i="21"/>
  <c r="I129" i="21"/>
  <c r="B127" i="13"/>
  <c r="F127" i="13"/>
  <c r="F130" i="21"/>
  <c r="B130" i="21"/>
  <c r="H126" i="13"/>
  <c r="I126" i="13"/>
  <c r="B126" i="38"/>
  <c r="F126" i="38"/>
  <c r="G126" i="20"/>
  <c r="D127" i="20"/>
  <c r="E127" i="20" s="1"/>
  <c r="D135" i="23"/>
  <c r="E135" i="23" s="1"/>
  <c r="G134" i="23"/>
  <c r="G133" i="3"/>
  <c r="D134" i="3"/>
  <c r="D130" i="22"/>
  <c r="G129" i="22"/>
  <c r="J132" i="3"/>
  <c r="H48" i="24" l="1"/>
  <c r="I48" i="24" s="1"/>
  <c r="D49" i="24"/>
  <c r="E49" i="24"/>
  <c r="J125" i="34"/>
  <c r="H50" i="19"/>
  <c r="I41" i="38"/>
  <c r="I46" i="26"/>
  <c r="F48" i="23"/>
  <c r="G48" i="23" s="1"/>
  <c r="B48" i="23"/>
  <c r="D49" i="21"/>
  <c r="E49" i="21"/>
  <c r="H129" i="26"/>
  <c r="I129" i="26"/>
  <c r="D52" i="4"/>
  <c r="E52" i="4" s="1"/>
  <c r="I45" i="25"/>
  <c r="E130" i="26"/>
  <c r="F130" i="26" s="1"/>
  <c r="B130" i="26"/>
  <c r="F47" i="26"/>
  <c r="B47" i="26"/>
  <c r="D53" i="3"/>
  <c r="E53" i="3" s="1"/>
  <c r="F46" i="13"/>
  <c r="B46" i="13"/>
  <c r="F46" i="25"/>
  <c r="G46" i="25" s="1"/>
  <c r="B46" i="25"/>
  <c r="B48" i="27"/>
  <c r="F48" i="27"/>
  <c r="G48" i="27" s="1"/>
  <c r="B43" i="37"/>
  <c r="F43" i="37"/>
  <c r="H43" i="37" s="1"/>
  <c r="G52" i="3"/>
  <c r="I44" i="29"/>
  <c r="F44" i="35"/>
  <c r="G44" i="35" s="1"/>
  <c r="B44" i="35"/>
  <c r="D48" i="22"/>
  <c r="E48" i="22"/>
  <c r="G50" i="18"/>
  <c r="I50" i="18" s="1"/>
  <c r="H47" i="22"/>
  <c r="I47" i="22" s="1"/>
  <c r="H52" i="3"/>
  <c r="F45" i="29"/>
  <c r="H45" i="29" s="1"/>
  <c r="F44" i="34"/>
  <c r="H44" i="34" s="1"/>
  <c r="B44" i="34"/>
  <c r="B44" i="31"/>
  <c r="F44" i="31"/>
  <c r="G44" i="31" s="1"/>
  <c r="D51" i="19"/>
  <c r="E51" i="19" s="1"/>
  <c r="H48" i="21"/>
  <c r="B48" i="28"/>
  <c r="F48" i="28"/>
  <c r="H48" i="28" s="1"/>
  <c r="H51" i="4"/>
  <c r="E69" i="20"/>
  <c r="F69" i="20" s="1"/>
  <c r="G68" i="20"/>
  <c r="H68" i="20"/>
  <c r="B69" i="20"/>
  <c r="J125" i="38"/>
  <c r="D51" i="18"/>
  <c r="E51" i="18" s="1"/>
  <c r="I50" i="19"/>
  <c r="G48" i="21"/>
  <c r="G51" i="4"/>
  <c r="I67" i="20"/>
  <c r="F42" i="38"/>
  <c r="G42" i="38" s="1"/>
  <c r="B42" i="38"/>
  <c r="E134" i="4"/>
  <c r="F134" i="4" s="1"/>
  <c r="B134" i="4"/>
  <c r="H132" i="18"/>
  <c r="I132" i="18"/>
  <c r="B133" i="18"/>
  <c r="E133" i="18"/>
  <c r="F133" i="18" s="1"/>
  <c r="I133" i="4"/>
  <c r="H133" i="4"/>
  <c r="E127" i="31"/>
  <c r="F127" i="31" s="1"/>
  <c r="B127" i="31"/>
  <c r="H126" i="35"/>
  <c r="I126" i="35"/>
  <c r="H126" i="31"/>
  <c r="I126" i="31"/>
  <c r="D130" i="25"/>
  <c r="G129" i="25"/>
  <c r="I125" i="37"/>
  <c r="H125" i="37"/>
  <c r="F126" i="37"/>
  <c r="B126" i="37"/>
  <c r="J128" i="25"/>
  <c r="H130" i="28"/>
  <c r="I130" i="28"/>
  <c r="E127" i="35"/>
  <c r="F127" i="35" s="1"/>
  <c r="B127" i="35"/>
  <c r="B131" i="28"/>
  <c r="F131" i="28"/>
  <c r="J129" i="24"/>
  <c r="J129" i="27"/>
  <c r="G127" i="13"/>
  <c r="D128" i="13"/>
  <c r="E128" i="13" s="1"/>
  <c r="I132" i="19"/>
  <c r="H132" i="19"/>
  <c r="B133" i="19"/>
  <c r="F133" i="19"/>
  <c r="D127" i="34"/>
  <c r="G126" i="34"/>
  <c r="D131" i="21"/>
  <c r="G130" i="21"/>
  <c r="J129" i="21"/>
  <c r="D127" i="38"/>
  <c r="E127" i="38" s="1"/>
  <c r="G126" i="38"/>
  <c r="E132" i="29"/>
  <c r="F132" i="29" s="1"/>
  <c r="J126" i="13"/>
  <c r="D131" i="24"/>
  <c r="E131" i="24" s="1"/>
  <c r="G130" i="24"/>
  <c r="I131" i="29"/>
  <c r="H131" i="29"/>
  <c r="G130" i="27"/>
  <c r="D131" i="27"/>
  <c r="H133" i="3"/>
  <c r="I133" i="3"/>
  <c r="B134" i="3"/>
  <c r="I134" i="23"/>
  <c r="H134" i="23"/>
  <c r="F135" i="23"/>
  <c r="B130" i="22"/>
  <c r="I129" i="22"/>
  <c r="H129" i="22"/>
  <c r="F127" i="20"/>
  <c r="B127" i="20"/>
  <c r="E130" i="22"/>
  <c r="F130" i="22" s="1"/>
  <c r="E134" i="3"/>
  <c r="F134" i="3" s="1"/>
  <c r="H126" i="20"/>
  <c r="I126" i="20"/>
  <c r="F49" i="24" l="1"/>
  <c r="H49" i="24" s="1"/>
  <c r="B49" i="24"/>
  <c r="J126" i="35"/>
  <c r="J126" i="31"/>
  <c r="H44" i="31"/>
  <c r="I44" i="31" s="1"/>
  <c r="G45" i="29"/>
  <c r="H44" i="35"/>
  <c r="I44" i="35" s="1"/>
  <c r="I68" i="20"/>
  <c r="I51" i="4"/>
  <c r="I45" i="29"/>
  <c r="G48" i="28"/>
  <c r="I48" i="28" s="1"/>
  <c r="H46" i="25"/>
  <c r="I46" i="25" s="1"/>
  <c r="J132" i="18"/>
  <c r="H48" i="23"/>
  <c r="I48" i="23" s="1"/>
  <c r="G130" i="26"/>
  <c r="D131" i="26"/>
  <c r="J133" i="3"/>
  <c r="G69" i="20"/>
  <c r="H69" i="20"/>
  <c r="B70" i="20"/>
  <c r="E70" i="20"/>
  <c r="F70" i="20" s="1"/>
  <c r="D47" i="13"/>
  <c r="E47" i="13" s="1"/>
  <c r="B51" i="19"/>
  <c r="F51" i="19"/>
  <c r="H51" i="19" s="1"/>
  <c r="D45" i="34"/>
  <c r="E45" i="34"/>
  <c r="B48" i="22"/>
  <c r="F48" i="22"/>
  <c r="G48" i="22" s="1"/>
  <c r="D44" i="37"/>
  <c r="E44" i="37"/>
  <c r="F53" i="3"/>
  <c r="H53" i="3" s="1"/>
  <c r="B53" i="3"/>
  <c r="B49" i="21"/>
  <c r="F49" i="21"/>
  <c r="H49" i="21" s="1"/>
  <c r="B51" i="18"/>
  <c r="F51" i="18"/>
  <c r="G51" i="18" s="1"/>
  <c r="D46" i="29"/>
  <c r="E46" i="29"/>
  <c r="D43" i="38"/>
  <c r="E43" i="38"/>
  <c r="D45" i="31"/>
  <c r="E45" i="31"/>
  <c r="G43" i="37"/>
  <c r="I43" i="37" s="1"/>
  <c r="D47" i="25"/>
  <c r="E47" i="25"/>
  <c r="D48" i="26"/>
  <c r="E48" i="26"/>
  <c r="F52" i="4"/>
  <c r="H52" i="4" s="1"/>
  <c r="B52" i="4"/>
  <c r="H42" i="38"/>
  <c r="I42" i="38" s="1"/>
  <c r="D49" i="28"/>
  <c r="E49" i="28" s="1"/>
  <c r="I52" i="3"/>
  <c r="H47" i="26"/>
  <c r="J132" i="19"/>
  <c r="G44" i="34"/>
  <c r="I44" i="34" s="1"/>
  <c r="D45" i="35"/>
  <c r="E45" i="35"/>
  <c r="D49" i="27"/>
  <c r="E49" i="27"/>
  <c r="G46" i="13"/>
  <c r="G47" i="26"/>
  <c r="D49" i="23"/>
  <c r="E49" i="23" s="1"/>
  <c r="I48" i="21"/>
  <c r="H48" i="27"/>
  <c r="I48" i="27" s="1"/>
  <c r="H46" i="13"/>
  <c r="J129" i="26"/>
  <c r="D134" i="18"/>
  <c r="G133" i="18"/>
  <c r="G134" i="4"/>
  <c r="D135" i="4"/>
  <c r="J130" i="28"/>
  <c r="J133" i="4"/>
  <c r="D128" i="35"/>
  <c r="B128" i="35" s="1"/>
  <c r="G127" i="35"/>
  <c r="I129" i="25"/>
  <c r="H129" i="25"/>
  <c r="E130" i="25"/>
  <c r="F130" i="25" s="1"/>
  <c r="B130" i="25"/>
  <c r="G131" i="28"/>
  <c r="D132" i="28"/>
  <c r="G126" i="37"/>
  <c r="D127" i="37"/>
  <c r="J125" i="37"/>
  <c r="D128" i="31"/>
  <c r="G127" i="31"/>
  <c r="G132" i="29"/>
  <c r="D133" i="29"/>
  <c r="E133" i="29" s="1"/>
  <c r="B127" i="34"/>
  <c r="I127" i="13"/>
  <c r="H127" i="13"/>
  <c r="H126" i="34"/>
  <c r="I126" i="34"/>
  <c r="F131" i="24"/>
  <c r="B131" i="24"/>
  <c r="D134" i="19"/>
  <c r="E134" i="19" s="1"/>
  <c r="G133" i="19"/>
  <c r="H130" i="24"/>
  <c r="I130" i="24"/>
  <c r="F127" i="38"/>
  <c r="B127" i="38"/>
  <c r="B131" i="21"/>
  <c r="B128" i="13"/>
  <c r="F128" i="13"/>
  <c r="B131" i="27"/>
  <c r="J131" i="29"/>
  <c r="J156" i="29" s="1"/>
  <c r="E131" i="21"/>
  <c r="F131" i="21" s="1"/>
  <c r="E131" i="27"/>
  <c r="F131" i="27" s="1"/>
  <c r="H126" i="38"/>
  <c r="I126" i="38"/>
  <c r="H130" i="27"/>
  <c r="I130" i="27"/>
  <c r="I130" i="21"/>
  <c r="H130" i="21"/>
  <c r="E127" i="34"/>
  <c r="F127" i="34" s="1"/>
  <c r="G130" i="22"/>
  <c r="D131" i="22"/>
  <c r="D135" i="3"/>
  <c r="E135" i="3" s="1"/>
  <c r="G134" i="3"/>
  <c r="D136" i="23"/>
  <c r="E136" i="23" s="1"/>
  <c r="G135" i="23"/>
  <c r="J134" i="23"/>
  <c r="J129" i="22"/>
  <c r="G127" i="20"/>
  <c r="D128" i="20"/>
  <c r="J126" i="20"/>
  <c r="G49" i="24" l="1"/>
  <c r="I49" i="24" s="1"/>
  <c r="D50" i="24"/>
  <c r="J126" i="38"/>
  <c r="G53" i="3"/>
  <c r="I53" i="3" s="1"/>
  <c r="G49" i="21"/>
  <c r="I49" i="21" s="1"/>
  <c r="I69" i="20"/>
  <c r="H48" i="22"/>
  <c r="I48" i="22" s="1"/>
  <c r="B43" i="38"/>
  <c r="F43" i="38"/>
  <c r="G43" i="38" s="1"/>
  <c r="B45" i="34"/>
  <c r="F45" i="34"/>
  <c r="F48" i="26"/>
  <c r="H48" i="26" s="1"/>
  <c r="B48" i="26"/>
  <c r="B44" i="37"/>
  <c r="F44" i="37"/>
  <c r="G44" i="37" s="1"/>
  <c r="F49" i="28"/>
  <c r="G49" i="28" s="1"/>
  <c r="B49" i="28"/>
  <c r="F46" i="29"/>
  <c r="D52" i="19"/>
  <c r="E52" i="19" s="1"/>
  <c r="B47" i="25"/>
  <c r="F47" i="25"/>
  <c r="H47" i="25" s="1"/>
  <c r="D52" i="18"/>
  <c r="E52" i="18" s="1"/>
  <c r="D49" i="22"/>
  <c r="E49" i="22"/>
  <c r="G51" i="19"/>
  <c r="I51" i="19" s="1"/>
  <c r="I46" i="13"/>
  <c r="F49" i="27"/>
  <c r="B49" i="27"/>
  <c r="B45" i="35"/>
  <c r="F45" i="35"/>
  <c r="G45" i="35" s="1"/>
  <c r="I47" i="26"/>
  <c r="D53" i="4"/>
  <c r="E53" i="4" s="1"/>
  <c r="F45" i="31"/>
  <c r="G45" i="31" s="1"/>
  <c r="B45" i="31"/>
  <c r="H51" i="18"/>
  <c r="I51" i="18" s="1"/>
  <c r="D54" i="3"/>
  <c r="E54" i="3" s="1"/>
  <c r="F47" i="13"/>
  <c r="G47" i="13" s="1"/>
  <c r="B47" i="13"/>
  <c r="E131" i="26"/>
  <c r="F131" i="26" s="1"/>
  <c r="B131" i="26"/>
  <c r="B49" i="23"/>
  <c r="F49" i="23"/>
  <c r="H49" i="23" s="1"/>
  <c r="G52" i="4"/>
  <c r="I52" i="4" s="1"/>
  <c r="D50" i="21"/>
  <c r="E50" i="21" s="1"/>
  <c r="B71" i="20"/>
  <c r="H70" i="20"/>
  <c r="G70" i="20"/>
  <c r="E71" i="20"/>
  <c r="F71" i="20" s="1"/>
  <c r="H130" i="26"/>
  <c r="I130" i="26"/>
  <c r="E135" i="4"/>
  <c r="F135" i="4" s="1"/>
  <c r="B135" i="4"/>
  <c r="I134" i="4"/>
  <c r="H134" i="4"/>
  <c r="I133" i="18"/>
  <c r="H133" i="18"/>
  <c r="E128" i="35"/>
  <c r="F128" i="35" s="1"/>
  <c r="E134" i="18"/>
  <c r="F134" i="18" s="1"/>
  <c r="B134" i="18"/>
  <c r="B128" i="31"/>
  <c r="D131" i="25"/>
  <c r="E131" i="25" s="1"/>
  <c r="G130" i="25"/>
  <c r="J126" i="34"/>
  <c r="B127" i="37"/>
  <c r="E127" i="37"/>
  <c r="F127" i="37" s="1"/>
  <c r="H126" i="37"/>
  <c r="I126" i="37"/>
  <c r="J129" i="25"/>
  <c r="B132" i="28"/>
  <c r="I127" i="31"/>
  <c r="H127" i="31"/>
  <c r="I131" i="28"/>
  <c r="H131" i="28"/>
  <c r="I127" i="35"/>
  <c r="H127" i="35"/>
  <c r="E128" i="31"/>
  <c r="F128" i="31" s="1"/>
  <c r="E132" i="28"/>
  <c r="F132" i="28" s="1"/>
  <c r="J130" i="27"/>
  <c r="D128" i="34"/>
  <c r="E128" i="34" s="1"/>
  <c r="G127" i="34"/>
  <c r="D132" i="27"/>
  <c r="E132" i="27" s="1"/>
  <c r="G131" i="27"/>
  <c r="G131" i="21"/>
  <c r="D132" i="21"/>
  <c r="I133" i="19"/>
  <c r="H133" i="19"/>
  <c r="J130" i="21"/>
  <c r="G131" i="24"/>
  <c r="D132" i="24"/>
  <c r="E132" i="24" s="1"/>
  <c r="B134" i="19"/>
  <c r="F134" i="19"/>
  <c r="F133" i="29"/>
  <c r="J127" i="13"/>
  <c r="H132" i="29"/>
  <c r="I132" i="29"/>
  <c r="G127" i="38"/>
  <c r="D128" i="38"/>
  <c r="D129" i="13"/>
  <c r="G128" i="13"/>
  <c r="J130" i="24"/>
  <c r="B135" i="3"/>
  <c r="F135" i="3"/>
  <c r="F136" i="23"/>
  <c r="I134" i="3"/>
  <c r="H134" i="3"/>
  <c r="B128" i="20"/>
  <c r="B131" i="22"/>
  <c r="I127" i="20"/>
  <c r="H127" i="20"/>
  <c r="E131" i="22"/>
  <c r="F131" i="22" s="1"/>
  <c r="E128" i="20"/>
  <c r="F128" i="20" s="1"/>
  <c r="H135" i="23"/>
  <c r="I135" i="23"/>
  <c r="I130" i="22"/>
  <c r="H130" i="22"/>
  <c r="E50" i="24" l="1"/>
  <c r="F50" i="24" s="1"/>
  <c r="G50" i="24" s="1"/>
  <c r="B50" i="24"/>
  <c r="H49" i="28"/>
  <c r="I49" i="28" s="1"/>
  <c r="H47" i="13"/>
  <c r="I47" i="13" s="1"/>
  <c r="G49" i="23"/>
  <c r="I49" i="23" s="1"/>
  <c r="J130" i="26"/>
  <c r="J131" i="28"/>
  <c r="G48" i="26"/>
  <c r="I48" i="26" s="1"/>
  <c r="H45" i="31"/>
  <c r="I45" i="31" s="1"/>
  <c r="H43" i="38"/>
  <c r="I43" i="38" s="1"/>
  <c r="G131" i="26"/>
  <c r="D132" i="26"/>
  <c r="B132" i="26" s="1"/>
  <c r="E132" i="26"/>
  <c r="F50" i="21"/>
  <c r="H50" i="21" s="1"/>
  <c r="B50" i="21"/>
  <c r="D46" i="35"/>
  <c r="E46" i="35"/>
  <c r="D50" i="27"/>
  <c r="E50" i="27" s="1"/>
  <c r="D47" i="29"/>
  <c r="E47" i="29" s="1"/>
  <c r="D46" i="34"/>
  <c r="E46" i="34"/>
  <c r="D48" i="25"/>
  <c r="E48" i="25" s="1"/>
  <c r="D45" i="37"/>
  <c r="E45" i="37"/>
  <c r="G45" i="34"/>
  <c r="J133" i="18"/>
  <c r="G71" i="20"/>
  <c r="B72" i="20"/>
  <c r="E72" i="20"/>
  <c r="F72" i="20" s="1"/>
  <c r="H71" i="20"/>
  <c r="D50" i="23"/>
  <c r="E50" i="23" s="1"/>
  <c r="D46" i="31"/>
  <c r="E46" i="31"/>
  <c r="H44" i="37"/>
  <c r="I44" i="37" s="1"/>
  <c r="H45" i="34"/>
  <c r="D48" i="13"/>
  <c r="E48" i="13" s="1"/>
  <c r="F49" i="22"/>
  <c r="H49" i="22" s="1"/>
  <c r="B49" i="22"/>
  <c r="D50" i="28"/>
  <c r="E50" i="28" s="1"/>
  <c r="J134" i="4"/>
  <c r="I70" i="20"/>
  <c r="B53" i="4"/>
  <c r="F53" i="4"/>
  <c r="H53" i="4" s="1"/>
  <c r="F52" i="19"/>
  <c r="G52" i="19" s="1"/>
  <c r="B52" i="19"/>
  <c r="B54" i="3"/>
  <c r="F54" i="3"/>
  <c r="H54" i="3" s="1"/>
  <c r="H49" i="27"/>
  <c r="B52" i="18"/>
  <c r="F52" i="18"/>
  <c r="H52" i="18" s="1"/>
  <c r="G46" i="29"/>
  <c r="D44" i="38"/>
  <c r="E44" i="38"/>
  <c r="H45" i="35"/>
  <c r="I45" i="35" s="1"/>
  <c r="G49" i="27"/>
  <c r="G47" i="25"/>
  <c r="I47" i="25" s="1"/>
  <c r="H46" i="29"/>
  <c r="D49" i="26"/>
  <c r="E49" i="26" s="1"/>
  <c r="D129" i="35"/>
  <c r="G128" i="35"/>
  <c r="J126" i="37"/>
  <c r="D135" i="18"/>
  <c r="G134" i="18"/>
  <c r="G135" i="4"/>
  <c r="D136" i="4"/>
  <c r="D133" i="28"/>
  <c r="E133" i="28" s="1"/>
  <c r="G132" i="28"/>
  <c r="D129" i="31"/>
  <c r="G128" i="31"/>
  <c r="G127" i="37"/>
  <c r="D128" i="37"/>
  <c r="B128" i="37" s="1"/>
  <c r="J127" i="31"/>
  <c r="H130" i="25"/>
  <c r="I130" i="25"/>
  <c r="F131" i="25"/>
  <c r="B131" i="25"/>
  <c r="J127" i="35"/>
  <c r="J127" i="20"/>
  <c r="H131" i="21"/>
  <c r="I131" i="21"/>
  <c r="B129" i="13"/>
  <c r="B128" i="38"/>
  <c r="D134" i="29"/>
  <c r="E134" i="29" s="1"/>
  <c r="G133" i="29"/>
  <c r="E128" i="38"/>
  <c r="F128" i="38" s="1"/>
  <c r="G134" i="19"/>
  <c r="D135" i="19"/>
  <c r="H131" i="27"/>
  <c r="I131" i="27"/>
  <c r="B132" i="21"/>
  <c r="J130" i="22"/>
  <c r="J134" i="3"/>
  <c r="H127" i="38"/>
  <c r="I127" i="38"/>
  <c r="J133" i="19"/>
  <c r="F132" i="27"/>
  <c r="B132" i="27"/>
  <c r="I128" i="13"/>
  <c r="H128" i="13"/>
  <c r="B132" i="24"/>
  <c r="F132" i="24"/>
  <c r="I127" i="34"/>
  <c r="H127" i="34"/>
  <c r="E129" i="13"/>
  <c r="F129" i="13" s="1"/>
  <c r="H131" i="24"/>
  <c r="I131" i="24"/>
  <c r="E132" i="21"/>
  <c r="F132" i="21" s="1"/>
  <c r="F128" i="34"/>
  <c r="B128" i="34"/>
  <c r="G131" i="22"/>
  <c r="D132" i="22"/>
  <c r="G128" i="20"/>
  <c r="D129" i="20"/>
  <c r="J135" i="23"/>
  <c r="D137" i="23"/>
  <c r="G136" i="23"/>
  <c r="D136" i="3"/>
  <c r="G135" i="3"/>
  <c r="H50" i="24" l="1"/>
  <c r="I50" i="24" s="1"/>
  <c r="D51" i="24"/>
  <c r="F132" i="26"/>
  <c r="E133" i="26" s="1"/>
  <c r="G49" i="22"/>
  <c r="I49" i="22" s="1"/>
  <c r="H52" i="19"/>
  <c r="I52" i="19" s="1"/>
  <c r="G50" i="21"/>
  <c r="I50" i="21" s="1"/>
  <c r="I46" i="29"/>
  <c r="D53" i="18"/>
  <c r="E53" i="18" s="1"/>
  <c r="D54" i="4"/>
  <c r="E54" i="4" s="1"/>
  <c r="B46" i="34"/>
  <c r="F46" i="34"/>
  <c r="G46" i="34" s="1"/>
  <c r="G53" i="4"/>
  <c r="I53" i="4" s="1"/>
  <c r="F46" i="31"/>
  <c r="G46" i="31" s="1"/>
  <c r="B46" i="31"/>
  <c r="I49" i="27"/>
  <c r="D50" i="22"/>
  <c r="E50" i="22"/>
  <c r="B50" i="23"/>
  <c r="F50" i="23"/>
  <c r="H50" i="23" s="1"/>
  <c r="F47" i="29"/>
  <c r="H47" i="29" s="1"/>
  <c r="D51" i="21"/>
  <c r="E51" i="21"/>
  <c r="D55" i="3"/>
  <c r="E55" i="3" s="1"/>
  <c r="B44" i="38"/>
  <c r="F44" i="38"/>
  <c r="F48" i="13"/>
  <c r="B48" i="13"/>
  <c r="I71" i="20"/>
  <c r="F45" i="37"/>
  <c r="G45" i="37" s="1"/>
  <c r="B45" i="37"/>
  <c r="B50" i="27"/>
  <c r="F50" i="27"/>
  <c r="H50" i="27" s="1"/>
  <c r="I45" i="34"/>
  <c r="G72" i="20"/>
  <c r="E73" i="20"/>
  <c r="B73" i="20"/>
  <c r="H72" i="20"/>
  <c r="I131" i="26"/>
  <c r="H131" i="26"/>
  <c r="B49" i="26"/>
  <c r="F49" i="26"/>
  <c r="H49" i="26" s="1"/>
  <c r="G52" i="18"/>
  <c r="I52" i="18" s="1"/>
  <c r="G54" i="3"/>
  <c r="I54" i="3" s="1"/>
  <c r="D53" i="19"/>
  <c r="E53" i="19" s="1"/>
  <c r="B50" i="28"/>
  <c r="F50" i="28"/>
  <c r="G50" i="28" s="1"/>
  <c r="B48" i="25"/>
  <c r="F48" i="25"/>
  <c r="G48" i="25" s="1"/>
  <c r="F46" i="35"/>
  <c r="G46" i="35" s="1"/>
  <c r="B46" i="35"/>
  <c r="E136" i="4"/>
  <c r="F136" i="4" s="1"/>
  <c r="B136" i="4"/>
  <c r="I135" i="4"/>
  <c r="H135" i="4"/>
  <c r="J131" i="27"/>
  <c r="H134" i="18"/>
  <c r="I134" i="18"/>
  <c r="E135" i="18"/>
  <c r="F135" i="18" s="1"/>
  <c r="B135" i="18"/>
  <c r="I128" i="35"/>
  <c r="H128" i="35"/>
  <c r="E129" i="35"/>
  <c r="F129" i="35" s="1"/>
  <c r="B129" i="35"/>
  <c r="I127" i="37"/>
  <c r="H127" i="37"/>
  <c r="I128" i="31"/>
  <c r="H128" i="31"/>
  <c r="D132" i="25"/>
  <c r="G131" i="25"/>
  <c r="E129" i="31"/>
  <c r="F129" i="31" s="1"/>
  <c r="B129" i="31"/>
  <c r="E128" i="37"/>
  <c r="F128" i="37" s="1"/>
  <c r="I132" i="28"/>
  <c r="H132" i="28"/>
  <c r="J130" i="25"/>
  <c r="J131" i="21"/>
  <c r="F133" i="28"/>
  <c r="B133" i="28"/>
  <c r="J128" i="13"/>
  <c r="J131" i="24"/>
  <c r="D129" i="38"/>
  <c r="G128" i="38"/>
  <c r="D133" i="21"/>
  <c r="E133" i="21" s="1"/>
  <c r="G132" i="21"/>
  <c r="J127" i="34"/>
  <c r="H134" i="19"/>
  <c r="I134" i="19"/>
  <c r="D130" i="13"/>
  <c r="E130" i="13" s="1"/>
  <c r="G129" i="13"/>
  <c r="B135" i="19"/>
  <c r="D133" i="24"/>
  <c r="E133" i="24" s="1"/>
  <c r="G132" i="24"/>
  <c r="G132" i="27"/>
  <c r="D133" i="27"/>
  <c r="E133" i="27" s="1"/>
  <c r="G128" i="34"/>
  <c r="D129" i="34"/>
  <c r="E129" i="34" s="1"/>
  <c r="H133" i="29"/>
  <c r="I133" i="29"/>
  <c r="J127" i="38"/>
  <c r="E135" i="19"/>
  <c r="F135" i="19" s="1"/>
  <c r="F134" i="29"/>
  <c r="B136" i="3"/>
  <c r="B129" i="20"/>
  <c r="E129" i="20"/>
  <c r="F129" i="20" s="1"/>
  <c r="H128" i="20"/>
  <c r="I128" i="20"/>
  <c r="B132" i="22"/>
  <c r="I135" i="3"/>
  <c r="H135" i="3"/>
  <c r="H136" i="23"/>
  <c r="I136" i="23"/>
  <c r="H131" i="22"/>
  <c r="I131" i="22"/>
  <c r="E136" i="3"/>
  <c r="F136" i="3" s="1"/>
  <c r="E137" i="23"/>
  <c r="F137" i="23" s="1"/>
  <c r="E132" i="22"/>
  <c r="F132" i="22" s="1"/>
  <c r="E51" i="24" l="1"/>
  <c r="F51" i="24" s="1"/>
  <c r="D52" i="24" s="1"/>
  <c r="B51" i="24"/>
  <c r="G47" i="29"/>
  <c r="I47" i="29" s="1"/>
  <c r="H46" i="34"/>
  <c r="I46" i="34" s="1"/>
  <c r="G132" i="26"/>
  <c r="D133" i="26"/>
  <c r="B133" i="26" s="1"/>
  <c r="H46" i="31"/>
  <c r="I46" i="31" s="1"/>
  <c r="H46" i="35"/>
  <c r="I46" i="35" s="1"/>
  <c r="G50" i="23"/>
  <c r="I50" i="23" s="1"/>
  <c r="H48" i="25"/>
  <c r="I48" i="25" s="1"/>
  <c r="H45" i="37"/>
  <c r="I45" i="37" s="1"/>
  <c r="I72" i="20"/>
  <c r="D49" i="13"/>
  <c r="F55" i="3"/>
  <c r="G55" i="3" s="1"/>
  <c r="B55" i="3"/>
  <c r="B54" i="4"/>
  <c r="F54" i="4"/>
  <c r="J132" i="28"/>
  <c r="F73" i="20"/>
  <c r="E74" i="20"/>
  <c r="D47" i="31"/>
  <c r="E47" i="31" s="1"/>
  <c r="J134" i="18"/>
  <c r="D51" i="28"/>
  <c r="E51" i="28" s="1"/>
  <c r="D50" i="26"/>
  <c r="E50" i="26" s="1"/>
  <c r="F51" i="21"/>
  <c r="H51" i="21" s="1"/>
  <c r="B51" i="21"/>
  <c r="D46" i="37"/>
  <c r="E46" i="37"/>
  <c r="D45" i="38"/>
  <c r="E45" i="38"/>
  <c r="F50" i="22"/>
  <c r="H50" i="22" s="1"/>
  <c r="B50" i="22"/>
  <c r="D47" i="35"/>
  <c r="E47" i="35" s="1"/>
  <c r="H50" i="28"/>
  <c r="I50" i="28" s="1"/>
  <c r="G49" i="26"/>
  <c r="I49" i="26" s="1"/>
  <c r="G44" i="38"/>
  <c r="D51" i="27"/>
  <c r="E51" i="27" s="1"/>
  <c r="G48" i="13"/>
  <c r="D48" i="29"/>
  <c r="E48" i="29" s="1"/>
  <c r="D47" i="34"/>
  <c r="E47" i="34"/>
  <c r="F53" i="18"/>
  <c r="G53" i="18" s="1"/>
  <c r="B53" i="18"/>
  <c r="D49" i="25"/>
  <c r="E49" i="25"/>
  <c r="F53" i="19"/>
  <c r="H53" i="19" s="1"/>
  <c r="B53" i="19"/>
  <c r="J131" i="26"/>
  <c r="G50" i="27"/>
  <c r="I50" i="27" s="1"/>
  <c r="H48" i="13"/>
  <c r="H44" i="38"/>
  <c r="D51" i="23"/>
  <c r="E51" i="23" s="1"/>
  <c r="D136" i="18"/>
  <c r="B136" i="18" s="1"/>
  <c r="G135" i="18"/>
  <c r="G136" i="4"/>
  <c r="D137" i="4"/>
  <c r="J128" i="35"/>
  <c r="J135" i="4"/>
  <c r="G129" i="35"/>
  <c r="D130" i="35"/>
  <c r="J136" i="23"/>
  <c r="G129" i="31"/>
  <c r="D130" i="31"/>
  <c r="G133" i="28"/>
  <c r="D134" i="28"/>
  <c r="H131" i="25"/>
  <c r="I131" i="25"/>
  <c r="E132" i="25"/>
  <c r="F132" i="25" s="1"/>
  <c r="B132" i="25"/>
  <c r="J128" i="31"/>
  <c r="G128" i="37"/>
  <c r="D129" i="37"/>
  <c r="J127" i="37"/>
  <c r="G135" i="19"/>
  <c r="D136" i="19"/>
  <c r="J128" i="20"/>
  <c r="F129" i="34"/>
  <c r="B129" i="34"/>
  <c r="I128" i="34"/>
  <c r="H128" i="34"/>
  <c r="I132" i="21"/>
  <c r="H132" i="21"/>
  <c r="F133" i="27"/>
  <c r="B133" i="27"/>
  <c r="I132" i="24"/>
  <c r="H132" i="24"/>
  <c r="I129" i="13"/>
  <c r="H129" i="13"/>
  <c r="B133" i="21"/>
  <c r="F133" i="21"/>
  <c r="H132" i="27"/>
  <c r="I132" i="27"/>
  <c r="B133" i="24"/>
  <c r="F133" i="24"/>
  <c r="B130" i="13"/>
  <c r="F130" i="13"/>
  <c r="J134" i="19"/>
  <c r="H128" i="38"/>
  <c r="I128" i="38"/>
  <c r="B129" i="38"/>
  <c r="G134" i="29"/>
  <c r="D135" i="29"/>
  <c r="E135" i="29" s="1"/>
  <c r="E129" i="38"/>
  <c r="F129" i="38" s="1"/>
  <c r="G132" i="22"/>
  <c r="D133" i="22"/>
  <c r="E133" i="22" s="1"/>
  <c r="G137" i="23"/>
  <c r="D138" i="23"/>
  <c r="E138" i="23" s="1"/>
  <c r="G129" i="20"/>
  <c r="D130" i="20"/>
  <c r="E130" i="20" s="1"/>
  <c r="G136" i="3"/>
  <c r="D137" i="3"/>
  <c r="E137" i="3" s="1"/>
  <c r="J135" i="3"/>
  <c r="J131" i="22"/>
  <c r="I44" i="38" l="1"/>
  <c r="H55" i="3"/>
  <c r="I55" i="3" s="1"/>
  <c r="H51" i="24"/>
  <c r="E52" i="24"/>
  <c r="F52" i="24" s="1"/>
  <c r="B52" i="24"/>
  <c r="G51" i="24"/>
  <c r="H132" i="26"/>
  <c r="I132" i="26"/>
  <c r="F133" i="26"/>
  <c r="I48" i="13"/>
  <c r="G53" i="19"/>
  <c r="I53" i="19" s="1"/>
  <c r="G51" i="21"/>
  <c r="I51" i="21" s="1"/>
  <c r="F51" i="28"/>
  <c r="H51" i="28" s="1"/>
  <c r="B51" i="28"/>
  <c r="B51" i="27"/>
  <c r="F51" i="27"/>
  <c r="G51" i="27" s="1"/>
  <c r="H73" i="20"/>
  <c r="G73" i="20"/>
  <c r="G74" i="20" s="1"/>
  <c r="D54" i="18"/>
  <c r="E54" i="18" s="1"/>
  <c r="D51" i="22"/>
  <c r="E51" i="22"/>
  <c r="B51" i="23"/>
  <c r="F51" i="23"/>
  <c r="G50" i="22"/>
  <c r="I50" i="22" s="1"/>
  <c r="D56" i="3"/>
  <c r="E56" i="3" s="1"/>
  <c r="D54" i="19"/>
  <c r="E54" i="19" s="1"/>
  <c r="F47" i="34"/>
  <c r="H47" i="34" s="1"/>
  <c r="B47" i="34"/>
  <c r="D52" i="21"/>
  <c r="E52" i="21"/>
  <c r="D55" i="4"/>
  <c r="E55" i="4" s="1"/>
  <c r="B49" i="13"/>
  <c r="F45" i="38"/>
  <c r="H45" i="38" s="1"/>
  <c r="B45" i="38"/>
  <c r="H54" i="4"/>
  <c r="E49" i="13"/>
  <c r="F49" i="13" s="1"/>
  <c r="F49" i="25"/>
  <c r="H49" i="25" s="1"/>
  <c r="B49" i="25"/>
  <c r="F48" i="29"/>
  <c r="B50" i="26"/>
  <c r="F50" i="26"/>
  <c r="G50" i="26" s="1"/>
  <c r="J132" i="27"/>
  <c r="H53" i="18"/>
  <c r="I53" i="18" s="1"/>
  <c r="F47" i="35"/>
  <c r="H47" i="35" s="1"/>
  <c r="B47" i="35"/>
  <c r="F46" i="37"/>
  <c r="H46" i="37" s="1"/>
  <c r="B46" i="37"/>
  <c r="B47" i="31"/>
  <c r="F47" i="31"/>
  <c r="H47" i="31" s="1"/>
  <c r="G54" i="4"/>
  <c r="E137" i="4"/>
  <c r="F137" i="4" s="1"/>
  <c r="B137" i="4"/>
  <c r="I136" i="4"/>
  <c r="H136" i="4"/>
  <c r="E136" i="18"/>
  <c r="F136" i="18" s="1"/>
  <c r="H135" i="18"/>
  <c r="I135" i="18"/>
  <c r="H129" i="35"/>
  <c r="I129" i="35"/>
  <c r="J131" i="25"/>
  <c r="J156" i="25" s="1"/>
  <c r="E130" i="35"/>
  <c r="F130" i="35" s="1"/>
  <c r="B130" i="35"/>
  <c r="E129" i="37"/>
  <c r="F129" i="37" s="1"/>
  <c r="B129" i="37"/>
  <c r="I128" i="37"/>
  <c r="H128" i="37"/>
  <c r="B134" i="28"/>
  <c r="E134" i="28"/>
  <c r="F134" i="28" s="1"/>
  <c r="H133" i="28"/>
  <c r="I133" i="28"/>
  <c r="D133" i="25"/>
  <c r="G132" i="25"/>
  <c r="B130" i="31"/>
  <c r="H129" i="31"/>
  <c r="I129" i="31"/>
  <c r="E130" i="31"/>
  <c r="F130" i="31" s="1"/>
  <c r="D130" i="38"/>
  <c r="E130" i="38" s="1"/>
  <c r="G129" i="38"/>
  <c r="J132" i="21"/>
  <c r="J128" i="34"/>
  <c r="H134" i="29"/>
  <c r="I134" i="29"/>
  <c r="G130" i="13"/>
  <c r="D131" i="13"/>
  <c r="E131" i="13" s="1"/>
  <c r="J129" i="13"/>
  <c r="G133" i="24"/>
  <c r="D134" i="24"/>
  <c r="E134" i="24" s="1"/>
  <c r="G133" i="21"/>
  <c r="D134" i="21"/>
  <c r="E134" i="21"/>
  <c r="J132" i="24"/>
  <c r="B136" i="19"/>
  <c r="G129" i="34"/>
  <c r="D130" i="34"/>
  <c r="E130" i="34" s="1"/>
  <c r="E136" i="19"/>
  <c r="F136" i="19" s="1"/>
  <c r="F135" i="29"/>
  <c r="J128" i="38"/>
  <c r="G133" i="27"/>
  <c r="D134" i="27"/>
  <c r="E134" i="27" s="1"/>
  <c r="I135" i="19"/>
  <c r="H135" i="19"/>
  <c r="F138" i="23"/>
  <c r="H137" i="23"/>
  <c r="I137" i="23"/>
  <c r="B137" i="3"/>
  <c r="F137" i="3"/>
  <c r="H136" i="3"/>
  <c r="I136" i="3"/>
  <c r="F133" i="22"/>
  <c r="B133" i="22"/>
  <c r="H129" i="20"/>
  <c r="I129" i="20"/>
  <c r="B130" i="20"/>
  <c r="F130" i="20"/>
  <c r="I132" i="22"/>
  <c r="H132" i="22"/>
  <c r="D53" i="24" l="1"/>
  <c r="G52" i="24"/>
  <c r="H52" i="24"/>
  <c r="I51" i="24"/>
  <c r="D134" i="26"/>
  <c r="G133" i="26"/>
  <c r="G51" i="28"/>
  <c r="I51" i="28" s="1"/>
  <c r="J132" i="26"/>
  <c r="J133" i="28"/>
  <c r="J129" i="35"/>
  <c r="G47" i="31"/>
  <c r="I47" i="31" s="1"/>
  <c r="G45" i="38"/>
  <c r="I45" i="38" s="1"/>
  <c r="H50" i="26"/>
  <c r="I50" i="26" s="1"/>
  <c r="G47" i="34"/>
  <c r="I47" i="34" s="1"/>
  <c r="G46" i="37"/>
  <c r="I46" i="37" s="1"/>
  <c r="J137" i="23"/>
  <c r="G47" i="35"/>
  <c r="I47" i="35" s="1"/>
  <c r="D50" i="13"/>
  <c r="E50" i="13" s="1"/>
  <c r="H49" i="13"/>
  <c r="G49" i="13"/>
  <c r="J135" i="18"/>
  <c r="F52" i="21"/>
  <c r="G52" i="21" s="1"/>
  <c r="B52" i="21"/>
  <c r="B56" i="3"/>
  <c r="F56" i="3"/>
  <c r="D50" i="25"/>
  <c r="E50" i="25"/>
  <c r="D52" i="27"/>
  <c r="E52" i="27"/>
  <c r="F51" i="22"/>
  <c r="G51" i="22" s="1"/>
  <c r="B51" i="22"/>
  <c r="H51" i="27"/>
  <c r="I51" i="27" s="1"/>
  <c r="D48" i="31"/>
  <c r="E48" i="31" s="1"/>
  <c r="D49" i="29"/>
  <c r="E49" i="29"/>
  <c r="I54" i="4"/>
  <c r="J129" i="31"/>
  <c r="D48" i="35"/>
  <c r="E48" i="35"/>
  <c r="G48" i="29"/>
  <c r="D48" i="34"/>
  <c r="E48" i="34" s="1"/>
  <c r="D52" i="23"/>
  <c r="E52" i="23" s="1"/>
  <c r="B54" i="18"/>
  <c r="F54" i="18"/>
  <c r="H54" i="18" s="1"/>
  <c r="H48" i="29"/>
  <c r="G49" i="25"/>
  <c r="I49" i="25" s="1"/>
  <c r="B55" i="4"/>
  <c r="F55" i="4"/>
  <c r="F54" i="19"/>
  <c r="H54" i="19" s="1"/>
  <c r="B54" i="19"/>
  <c r="G51" i="23"/>
  <c r="I73" i="20"/>
  <c r="I74" i="20" s="1"/>
  <c r="H74" i="20"/>
  <c r="J136" i="3"/>
  <c r="D47" i="37"/>
  <c r="E47" i="37" s="1"/>
  <c r="D51" i="26"/>
  <c r="E51" i="26"/>
  <c r="D46" i="38"/>
  <c r="E46" i="38" s="1"/>
  <c r="H51" i="23"/>
  <c r="D52" i="28"/>
  <c r="E52" i="28" s="1"/>
  <c r="G130" i="35"/>
  <c r="D131" i="35"/>
  <c r="E131" i="35" s="1"/>
  <c r="G136" i="18"/>
  <c r="D137" i="18"/>
  <c r="J136" i="4"/>
  <c r="D138" i="4"/>
  <c r="G137" i="4"/>
  <c r="G134" i="28"/>
  <c r="D135" i="28"/>
  <c r="E135" i="28" s="1"/>
  <c r="G130" i="31"/>
  <c r="D131" i="31"/>
  <c r="E131" i="31" s="1"/>
  <c r="H132" i="25"/>
  <c r="I132" i="25"/>
  <c r="J128" i="37"/>
  <c r="E133" i="25"/>
  <c r="F133" i="25" s="1"/>
  <c r="B133" i="25"/>
  <c r="D130" i="37"/>
  <c r="E130" i="37" s="1"/>
  <c r="G129" i="37"/>
  <c r="J132" i="22"/>
  <c r="D137" i="19"/>
  <c r="E137" i="19" s="1"/>
  <c r="G136" i="19"/>
  <c r="H133" i="27"/>
  <c r="I133" i="27"/>
  <c r="B130" i="34"/>
  <c r="F130" i="34"/>
  <c r="J135" i="19"/>
  <c r="G135" i="29"/>
  <c r="D136" i="29"/>
  <c r="E136" i="29" s="1"/>
  <c r="I129" i="34"/>
  <c r="H129" i="34"/>
  <c r="F134" i="24"/>
  <c r="B134" i="24"/>
  <c r="B134" i="21"/>
  <c r="F134" i="21"/>
  <c r="H133" i="24"/>
  <c r="I133" i="24"/>
  <c r="I133" i="21"/>
  <c r="H133" i="21"/>
  <c r="H129" i="38"/>
  <c r="I129" i="38"/>
  <c r="F131" i="13"/>
  <c r="B131" i="13"/>
  <c r="J129" i="20"/>
  <c r="B134" i="27"/>
  <c r="F134" i="27"/>
  <c r="H130" i="13"/>
  <c r="I130" i="13"/>
  <c r="F130" i="38"/>
  <c r="B130" i="38"/>
  <c r="G138" i="23"/>
  <c r="D139" i="23"/>
  <c r="E139" i="23" s="1"/>
  <c r="D131" i="20"/>
  <c r="E131" i="20" s="1"/>
  <c r="G130" i="20"/>
  <c r="G133" i="22"/>
  <c r="D134" i="22"/>
  <c r="E134" i="22" s="1"/>
  <c r="D138" i="3"/>
  <c r="G137" i="3"/>
  <c r="I52" i="24" l="1"/>
  <c r="E53" i="24"/>
  <c r="F53" i="24" s="1"/>
  <c r="H53" i="24" s="1"/>
  <c r="B53" i="24"/>
  <c r="I133" i="26"/>
  <c r="H133" i="26"/>
  <c r="E134" i="26"/>
  <c r="F134" i="26" s="1"/>
  <c r="B134" i="26"/>
  <c r="I48" i="29"/>
  <c r="I51" i="23"/>
  <c r="B52" i="23"/>
  <c r="F52" i="23"/>
  <c r="G52" i="23" s="1"/>
  <c r="F47" i="37"/>
  <c r="G47" i="37" s="1"/>
  <c r="B47" i="37"/>
  <c r="F49" i="29"/>
  <c r="D52" i="22"/>
  <c r="E52" i="22" s="1"/>
  <c r="B50" i="25"/>
  <c r="F50" i="25"/>
  <c r="G50" i="25" s="1"/>
  <c r="D53" i="21"/>
  <c r="E53" i="21" s="1"/>
  <c r="F52" i="28"/>
  <c r="G52" i="28" s="1"/>
  <c r="B52" i="28"/>
  <c r="D55" i="19"/>
  <c r="E55" i="19" s="1"/>
  <c r="B48" i="34"/>
  <c r="F48" i="34"/>
  <c r="H48" i="34" s="1"/>
  <c r="D57" i="3"/>
  <c r="E57" i="3" s="1"/>
  <c r="D56" i="4"/>
  <c r="E56" i="4" s="1"/>
  <c r="F52" i="27"/>
  <c r="H52" i="27" s="1"/>
  <c r="B52" i="27"/>
  <c r="H56" i="3"/>
  <c r="G55" i="4"/>
  <c r="D55" i="18"/>
  <c r="E55" i="18" s="1"/>
  <c r="F48" i="31"/>
  <c r="H48" i="31" s="1"/>
  <c r="B48" i="31"/>
  <c r="G56" i="3"/>
  <c r="I49" i="13"/>
  <c r="B46" i="38"/>
  <c r="F46" i="38"/>
  <c r="G54" i="18"/>
  <c r="I54" i="18" s="1"/>
  <c r="B48" i="35"/>
  <c r="F48" i="35"/>
  <c r="H48" i="35" s="1"/>
  <c r="H55" i="4"/>
  <c r="H51" i="22"/>
  <c r="I51" i="22" s="1"/>
  <c r="H52" i="21"/>
  <c r="I52" i="21" s="1"/>
  <c r="B50" i="13"/>
  <c r="F50" i="13"/>
  <c r="G50" i="13" s="1"/>
  <c r="J133" i="27"/>
  <c r="F51" i="26"/>
  <c r="G51" i="26" s="1"/>
  <c r="B51" i="26"/>
  <c r="G54" i="19"/>
  <c r="I54" i="19" s="1"/>
  <c r="E137" i="18"/>
  <c r="F137" i="18" s="1"/>
  <c r="B137" i="18"/>
  <c r="H137" i="4"/>
  <c r="I137" i="4"/>
  <c r="I136" i="18"/>
  <c r="H136" i="18"/>
  <c r="E138" i="4"/>
  <c r="F138" i="4" s="1"/>
  <c r="B138" i="4"/>
  <c r="B131" i="35"/>
  <c r="F131" i="35"/>
  <c r="J130" i="13"/>
  <c r="J133" i="24"/>
  <c r="I130" i="35"/>
  <c r="H130" i="35"/>
  <c r="G133" i="25"/>
  <c r="D134" i="25"/>
  <c r="E134" i="25" s="1"/>
  <c r="H129" i="37"/>
  <c r="I129" i="37"/>
  <c r="F130" i="37"/>
  <c r="B130" i="37"/>
  <c r="B131" i="31"/>
  <c r="F131" i="31"/>
  <c r="H130" i="31"/>
  <c r="I130" i="31"/>
  <c r="B135" i="28"/>
  <c r="F135" i="28"/>
  <c r="H134" i="28"/>
  <c r="I134" i="28"/>
  <c r="J129" i="38"/>
  <c r="D131" i="34"/>
  <c r="E131" i="34" s="1"/>
  <c r="G130" i="34"/>
  <c r="G131" i="13"/>
  <c r="D132" i="13"/>
  <c r="E132" i="13" s="1"/>
  <c r="G134" i="21"/>
  <c r="D135" i="21"/>
  <c r="E135" i="21" s="1"/>
  <c r="J129" i="34"/>
  <c r="G134" i="24"/>
  <c r="D135" i="24"/>
  <c r="E135" i="24" s="1"/>
  <c r="H136" i="19"/>
  <c r="I136" i="19"/>
  <c r="D135" i="27"/>
  <c r="G134" i="27"/>
  <c r="G130" i="38"/>
  <c r="D131" i="38"/>
  <c r="E131" i="38" s="1"/>
  <c r="F136" i="29"/>
  <c r="J133" i="21"/>
  <c r="H135" i="29"/>
  <c r="I135" i="29"/>
  <c r="B137" i="19"/>
  <c r="F137" i="19"/>
  <c r="H138" i="23"/>
  <c r="I138" i="23"/>
  <c r="H133" i="22"/>
  <c r="I133" i="22"/>
  <c r="B138" i="3"/>
  <c r="I130" i="20"/>
  <c r="H130" i="20"/>
  <c r="F134" i="22"/>
  <c r="B134" i="22"/>
  <c r="E138" i="3"/>
  <c r="F138" i="3" s="1"/>
  <c r="F131" i="20"/>
  <c r="B131" i="20"/>
  <c r="H137" i="3"/>
  <c r="I137" i="3"/>
  <c r="F139" i="23"/>
  <c r="G53" i="24" l="1"/>
  <c r="I53" i="24" s="1"/>
  <c r="D54" i="24"/>
  <c r="J137" i="4"/>
  <c r="D135" i="26"/>
  <c r="B135" i="26" s="1"/>
  <c r="G134" i="26"/>
  <c r="J133" i="26"/>
  <c r="H51" i="26"/>
  <c r="I51" i="26" s="1"/>
  <c r="G48" i="31"/>
  <c r="I48" i="31" s="1"/>
  <c r="H47" i="37"/>
  <c r="I47" i="37" s="1"/>
  <c r="I55" i="4"/>
  <c r="G48" i="35"/>
  <c r="I48" i="35" s="1"/>
  <c r="G52" i="27"/>
  <c r="I52" i="27" s="1"/>
  <c r="H52" i="28"/>
  <c r="I52" i="28" s="1"/>
  <c r="H50" i="25"/>
  <c r="I50" i="25" s="1"/>
  <c r="I56" i="3"/>
  <c r="F57" i="3"/>
  <c r="H57" i="3" s="1"/>
  <c r="B57" i="3"/>
  <c r="D47" i="38"/>
  <c r="E47" i="38"/>
  <c r="D49" i="34"/>
  <c r="E49" i="34"/>
  <c r="D53" i="28"/>
  <c r="E53" i="28" s="1"/>
  <c r="B52" i="22"/>
  <c r="F52" i="22"/>
  <c r="G52" i="22" s="1"/>
  <c r="D48" i="37"/>
  <c r="E48" i="37" s="1"/>
  <c r="D52" i="26"/>
  <c r="E52" i="26" s="1"/>
  <c r="D49" i="31"/>
  <c r="E49" i="31" s="1"/>
  <c r="D53" i="27"/>
  <c r="E53" i="27" s="1"/>
  <c r="D50" i="29"/>
  <c r="E50" i="29" s="1"/>
  <c r="G46" i="38"/>
  <c r="G48" i="34"/>
  <c r="I48" i="34" s="1"/>
  <c r="F53" i="21"/>
  <c r="B53" i="21"/>
  <c r="G49" i="29"/>
  <c r="D53" i="23"/>
  <c r="E53" i="23" s="1"/>
  <c r="D51" i="13"/>
  <c r="H46" i="38"/>
  <c r="B55" i="18"/>
  <c r="F55" i="18"/>
  <c r="D51" i="25"/>
  <c r="E51" i="25" s="1"/>
  <c r="H49" i="29"/>
  <c r="H50" i="13"/>
  <c r="I50" i="13" s="1"/>
  <c r="D49" i="35"/>
  <c r="E49" i="35" s="1"/>
  <c r="F56" i="4"/>
  <c r="G56" i="4" s="1"/>
  <c r="B56" i="4"/>
  <c r="B55" i="19"/>
  <c r="F55" i="19"/>
  <c r="H55" i="19" s="1"/>
  <c r="H52" i="23"/>
  <c r="I52" i="23" s="1"/>
  <c r="J134" i="28"/>
  <c r="J130" i="35"/>
  <c r="J136" i="18"/>
  <c r="J129" i="37"/>
  <c r="D139" i="4"/>
  <c r="B139" i="4" s="1"/>
  <c r="G138" i="4"/>
  <c r="D132" i="35"/>
  <c r="G131" i="35"/>
  <c r="J130" i="31"/>
  <c r="D138" i="18"/>
  <c r="G137" i="18"/>
  <c r="G130" i="37"/>
  <c r="D131" i="37"/>
  <c r="G135" i="28"/>
  <c r="D136" i="28"/>
  <c r="B134" i="25"/>
  <c r="F134" i="25"/>
  <c r="D132" i="31"/>
  <c r="G131" i="31"/>
  <c r="H133" i="25"/>
  <c r="I133" i="25"/>
  <c r="J133" i="22"/>
  <c r="J138" i="23"/>
  <c r="J136" i="19"/>
  <c r="G136" i="29"/>
  <c r="D137" i="29"/>
  <c r="F135" i="24"/>
  <c r="B135" i="24"/>
  <c r="I130" i="34"/>
  <c r="H130" i="34"/>
  <c r="H134" i="24"/>
  <c r="I134" i="24"/>
  <c r="B132" i="13"/>
  <c r="F132" i="13"/>
  <c r="B131" i="34"/>
  <c r="F131" i="34"/>
  <c r="B135" i="27"/>
  <c r="H131" i="13"/>
  <c r="I131" i="13"/>
  <c r="H130" i="38"/>
  <c r="I130" i="38"/>
  <c r="B135" i="21"/>
  <c r="F135" i="21"/>
  <c r="F131" i="38"/>
  <c r="B131" i="38"/>
  <c r="E135" i="27"/>
  <c r="F135" i="27" s="1"/>
  <c r="H134" i="21"/>
  <c r="I134" i="21"/>
  <c r="D138" i="19"/>
  <c r="E138" i="19" s="1"/>
  <c r="G137" i="19"/>
  <c r="J137" i="3"/>
  <c r="H134" i="27"/>
  <c r="I134" i="27"/>
  <c r="G138" i="3"/>
  <c r="D139" i="3"/>
  <c r="E139" i="3" s="1"/>
  <c r="D140" i="23"/>
  <c r="E140" i="23" s="1"/>
  <c r="G139" i="23"/>
  <c r="D135" i="22"/>
  <c r="E135" i="22" s="1"/>
  <c r="G134" i="22"/>
  <c r="D132" i="20"/>
  <c r="G131" i="20"/>
  <c r="J130" i="20"/>
  <c r="E135" i="26" l="1"/>
  <c r="E54" i="24"/>
  <c r="F54" i="24" s="1"/>
  <c r="H54" i="24" s="1"/>
  <c r="B54" i="24"/>
  <c r="J134" i="21"/>
  <c r="F135" i="26"/>
  <c r="I134" i="26"/>
  <c r="H134" i="26"/>
  <c r="H56" i="4"/>
  <c r="I56" i="4" s="1"/>
  <c r="I49" i="29"/>
  <c r="H52" i="22"/>
  <c r="I52" i="22" s="1"/>
  <c r="I46" i="38"/>
  <c r="G57" i="3"/>
  <c r="I57" i="3" s="1"/>
  <c r="D56" i="18"/>
  <c r="E56" i="18" s="1"/>
  <c r="G55" i="18"/>
  <c r="D54" i="21"/>
  <c r="E54" i="21"/>
  <c r="F49" i="31"/>
  <c r="B49" i="31"/>
  <c r="D56" i="19"/>
  <c r="E56" i="19" s="1"/>
  <c r="F49" i="35"/>
  <c r="G49" i="35" s="1"/>
  <c r="B49" i="35"/>
  <c r="B52" i="26"/>
  <c r="F52" i="26"/>
  <c r="H52" i="26" s="1"/>
  <c r="B53" i="28"/>
  <c r="F53" i="28"/>
  <c r="H53" i="28" s="1"/>
  <c r="G55" i="19"/>
  <c r="I55" i="19" s="1"/>
  <c r="B53" i="23"/>
  <c r="F53" i="23"/>
  <c r="H53" i="23" s="1"/>
  <c r="B51" i="13"/>
  <c r="F50" i="29"/>
  <c r="B48" i="37"/>
  <c r="F48" i="37"/>
  <c r="G48" i="37" s="1"/>
  <c r="B49" i="34"/>
  <c r="F49" i="34"/>
  <c r="H49" i="34" s="1"/>
  <c r="B51" i="25"/>
  <c r="F51" i="25"/>
  <c r="G51" i="25" s="1"/>
  <c r="E51" i="13"/>
  <c r="F51" i="13" s="1"/>
  <c r="H53" i="21"/>
  <c r="D58" i="3"/>
  <c r="E58" i="3" s="1"/>
  <c r="D57" i="4"/>
  <c r="E57" i="4" s="1"/>
  <c r="H55" i="18"/>
  <c r="G53" i="21"/>
  <c r="F53" i="27"/>
  <c r="H53" i="27" s="1"/>
  <c r="B53" i="27"/>
  <c r="D53" i="22"/>
  <c r="E53" i="22" s="1"/>
  <c r="F47" i="38"/>
  <c r="H47" i="38" s="1"/>
  <c r="B47" i="38"/>
  <c r="E132" i="35"/>
  <c r="F132" i="35" s="1"/>
  <c r="B132" i="35"/>
  <c r="I138" i="4"/>
  <c r="H138" i="4"/>
  <c r="H137" i="18"/>
  <c r="I137" i="18"/>
  <c r="E138" i="18"/>
  <c r="F138" i="18" s="1"/>
  <c r="B138" i="18"/>
  <c r="J134" i="27"/>
  <c r="H131" i="35"/>
  <c r="I131" i="35"/>
  <c r="E139" i="4"/>
  <c r="F139" i="4" s="1"/>
  <c r="I131" i="31"/>
  <c r="H131" i="31"/>
  <c r="E132" i="31"/>
  <c r="F132" i="31" s="1"/>
  <c r="B132" i="31"/>
  <c r="G134" i="25"/>
  <c r="D135" i="25"/>
  <c r="E136" i="28"/>
  <c r="F136" i="28" s="1"/>
  <c r="B136" i="28"/>
  <c r="I135" i="28"/>
  <c r="H135" i="28"/>
  <c r="E131" i="37"/>
  <c r="F131" i="37" s="1"/>
  <c r="B131" i="37"/>
  <c r="H130" i="37"/>
  <c r="I130" i="37"/>
  <c r="J130" i="38"/>
  <c r="J131" i="13"/>
  <c r="J156" i="13" s="1"/>
  <c r="J134" i="24"/>
  <c r="I136" i="29"/>
  <c r="H136" i="29"/>
  <c r="G131" i="38"/>
  <c r="D132" i="38"/>
  <c r="H137" i="19"/>
  <c r="I137" i="19"/>
  <c r="G135" i="27"/>
  <c r="D136" i="27"/>
  <c r="E136" i="27" s="1"/>
  <c r="B138" i="19"/>
  <c r="F138" i="19"/>
  <c r="J130" i="34"/>
  <c r="D132" i="34"/>
  <c r="E132" i="34" s="1"/>
  <c r="G131" i="34"/>
  <c r="G135" i="24"/>
  <c r="D136" i="24"/>
  <c r="E136" i="24" s="1"/>
  <c r="D136" i="21"/>
  <c r="E136" i="21" s="1"/>
  <c r="G135" i="21"/>
  <c r="D133" i="13"/>
  <c r="E133" i="13" s="1"/>
  <c r="G132" i="13"/>
  <c r="E137" i="29"/>
  <c r="F137" i="29" s="1"/>
  <c r="F140" i="23"/>
  <c r="B139" i="3"/>
  <c r="F139" i="3"/>
  <c r="H138" i="3"/>
  <c r="I138" i="3"/>
  <c r="H134" i="22"/>
  <c r="I134" i="22"/>
  <c r="I131" i="20"/>
  <c r="H131" i="20"/>
  <c r="B132" i="20"/>
  <c r="F135" i="22"/>
  <c r="B135" i="22"/>
  <c r="E132" i="20"/>
  <c r="F132" i="20" s="1"/>
  <c r="I139" i="23"/>
  <c r="H139" i="23"/>
  <c r="G49" i="34" l="1"/>
  <c r="I49" i="34" s="1"/>
  <c r="G54" i="24"/>
  <c r="I54" i="24" s="1"/>
  <c r="D55" i="24"/>
  <c r="J134" i="26"/>
  <c r="G135" i="26"/>
  <c r="D136" i="26"/>
  <c r="B136" i="26" s="1"/>
  <c r="I55" i="18"/>
  <c r="J137" i="19"/>
  <c r="I53" i="21"/>
  <c r="H49" i="35"/>
  <c r="I49" i="35" s="1"/>
  <c r="G47" i="38"/>
  <c r="I47" i="38" s="1"/>
  <c r="H51" i="25"/>
  <c r="I51" i="25" s="1"/>
  <c r="H48" i="37"/>
  <c r="I48" i="37" s="1"/>
  <c r="G53" i="27"/>
  <c r="I53" i="27" s="1"/>
  <c r="D52" i="13"/>
  <c r="E52" i="13" s="1"/>
  <c r="H51" i="13"/>
  <c r="G51" i="13"/>
  <c r="F53" i="22"/>
  <c r="H53" i="22" s="1"/>
  <c r="B53" i="22"/>
  <c r="B57" i="4"/>
  <c r="F57" i="4"/>
  <c r="D50" i="31"/>
  <c r="E50" i="31"/>
  <c r="D51" i="29"/>
  <c r="E51" i="29" s="1"/>
  <c r="G49" i="31"/>
  <c r="F58" i="3"/>
  <c r="H58" i="3" s="1"/>
  <c r="B58" i="3"/>
  <c r="D50" i="34"/>
  <c r="E50" i="34"/>
  <c r="H50" i="29"/>
  <c r="D54" i="23"/>
  <c r="E54" i="23" s="1"/>
  <c r="D50" i="35"/>
  <c r="E50" i="35" s="1"/>
  <c r="G50" i="29"/>
  <c r="D53" i="26"/>
  <c r="E53" i="26"/>
  <c r="B54" i="21"/>
  <c r="F54" i="21"/>
  <c r="G54" i="21" s="1"/>
  <c r="D54" i="27"/>
  <c r="E54" i="27" s="1"/>
  <c r="G53" i="23"/>
  <c r="I53" i="23" s="1"/>
  <c r="G52" i="26"/>
  <c r="I52" i="26" s="1"/>
  <c r="B56" i="19"/>
  <c r="F56" i="19"/>
  <c r="D48" i="38"/>
  <c r="E48" i="38"/>
  <c r="D54" i="28"/>
  <c r="E54" i="28" s="1"/>
  <c r="F56" i="18"/>
  <c r="H56" i="18" s="1"/>
  <c r="B56" i="18"/>
  <c r="J138" i="4"/>
  <c r="D52" i="25"/>
  <c r="E52" i="25"/>
  <c r="D49" i="37"/>
  <c r="E49" i="37" s="1"/>
  <c r="G53" i="28"/>
  <c r="I53" i="28" s="1"/>
  <c r="H49" i="31"/>
  <c r="D139" i="18"/>
  <c r="B139" i="18" s="1"/>
  <c r="G138" i="18"/>
  <c r="J137" i="18"/>
  <c r="G139" i="4"/>
  <c r="D140" i="4"/>
  <c r="J130" i="37"/>
  <c r="J131" i="35"/>
  <c r="J156" i="35" s="1"/>
  <c r="G132" i="35"/>
  <c r="D133" i="35"/>
  <c r="G136" i="28"/>
  <c r="D137" i="28"/>
  <c r="G131" i="37"/>
  <c r="D132" i="37"/>
  <c r="B135" i="25"/>
  <c r="E135" i="25"/>
  <c r="F135" i="25" s="1"/>
  <c r="H134" i="25"/>
  <c r="I134" i="25"/>
  <c r="D133" i="31"/>
  <c r="E133" i="31" s="1"/>
  <c r="G132" i="31"/>
  <c r="J135" i="28"/>
  <c r="J131" i="31"/>
  <c r="J134" i="22"/>
  <c r="G137" i="29"/>
  <c r="D138" i="29"/>
  <c r="E138" i="29" s="1"/>
  <c r="I131" i="34"/>
  <c r="H131" i="34"/>
  <c r="B132" i="38"/>
  <c r="F132" i="34"/>
  <c r="B132" i="34"/>
  <c r="G138" i="19"/>
  <c r="D139" i="19"/>
  <c r="H131" i="38"/>
  <c r="I131" i="38"/>
  <c r="B133" i="13"/>
  <c r="F133" i="13"/>
  <c r="B136" i="21"/>
  <c r="F136" i="21"/>
  <c r="E132" i="38"/>
  <c r="F132" i="38" s="1"/>
  <c r="I135" i="24"/>
  <c r="H135" i="24"/>
  <c r="H135" i="21"/>
  <c r="I135" i="21"/>
  <c r="F136" i="27"/>
  <c r="B136" i="27"/>
  <c r="I132" i="13"/>
  <c r="H132" i="13"/>
  <c r="F136" i="24"/>
  <c r="B136" i="24"/>
  <c r="H135" i="27"/>
  <c r="I135" i="27"/>
  <c r="G132" i="20"/>
  <c r="D133" i="20"/>
  <c r="E133" i="20" s="1"/>
  <c r="G139" i="3"/>
  <c r="D140" i="3"/>
  <c r="J139" i="23"/>
  <c r="J131" i="20"/>
  <c r="G135" i="22"/>
  <c r="D136" i="22"/>
  <c r="J138" i="3"/>
  <c r="D141" i="23"/>
  <c r="E141" i="23" s="1"/>
  <c r="G140" i="23"/>
  <c r="E136" i="26" l="1"/>
  <c r="F136" i="26" s="1"/>
  <c r="E55" i="24"/>
  <c r="F55" i="24" s="1"/>
  <c r="B55" i="24"/>
  <c r="H135" i="26"/>
  <c r="I135" i="26"/>
  <c r="I49" i="31"/>
  <c r="H54" i="21"/>
  <c r="I54" i="21" s="1"/>
  <c r="E139" i="18"/>
  <c r="F139" i="18" s="1"/>
  <c r="G56" i="18"/>
  <c r="I56" i="18" s="1"/>
  <c r="B48" i="38"/>
  <c r="F48" i="38"/>
  <c r="B49" i="37"/>
  <c r="F49" i="37"/>
  <c r="D57" i="19"/>
  <c r="E57" i="19" s="1"/>
  <c r="B54" i="27"/>
  <c r="F54" i="27"/>
  <c r="F50" i="31"/>
  <c r="G50" i="31" s="1"/>
  <c r="B50" i="31"/>
  <c r="J131" i="38"/>
  <c r="J156" i="38" s="1"/>
  <c r="G56" i="19"/>
  <c r="B50" i="35"/>
  <c r="F50" i="35"/>
  <c r="G50" i="35" s="1"/>
  <c r="D59" i="3"/>
  <c r="E59" i="3" s="1"/>
  <c r="D54" i="22"/>
  <c r="E54" i="22" s="1"/>
  <c r="F52" i="25"/>
  <c r="H52" i="25" s="1"/>
  <c r="B52" i="25"/>
  <c r="D55" i="21"/>
  <c r="E55" i="21" s="1"/>
  <c r="G58" i="3"/>
  <c r="I58" i="3" s="1"/>
  <c r="D58" i="4"/>
  <c r="E58" i="4" s="1"/>
  <c r="H56" i="19"/>
  <c r="B54" i="23"/>
  <c r="F54" i="23"/>
  <c r="G54" i="23" s="1"/>
  <c r="I50" i="29"/>
  <c r="H57" i="4"/>
  <c r="I51" i="13"/>
  <c r="B54" i="28"/>
  <c r="F54" i="28"/>
  <c r="G57" i="4"/>
  <c r="D57" i="18"/>
  <c r="E57" i="18" s="1"/>
  <c r="F53" i="26"/>
  <c r="H53" i="26" s="1"/>
  <c r="B53" i="26"/>
  <c r="B50" i="34"/>
  <c r="F50" i="34"/>
  <c r="F51" i="29"/>
  <c r="G53" i="22"/>
  <c r="I53" i="22" s="1"/>
  <c r="B52" i="13"/>
  <c r="F52" i="13"/>
  <c r="G52" i="13" s="1"/>
  <c r="B140" i="4"/>
  <c r="E140" i="4"/>
  <c r="F140" i="4" s="1"/>
  <c r="H139" i="4"/>
  <c r="I139" i="4"/>
  <c r="J135" i="24"/>
  <c r="E133" i="35"/>
  <c r="F133" i="35" s="1"/>
  <c r="B133" i="35"/>
  <c r="H138" i="18"/>
  <c r="I138" i="18"/>
  <c r="H132" i="35"/>
  <c r="I132" i="35"/>
  <c r="G135" i="25"/>
  <c r="D136" i="25"/>
  <c r="B132" i="37"/>
  <c r="H132" i="31"/>
  <c r="I132" i="31"/>
  <c r="E132" i="37"/>
  <c r="F132" i="37" s="1"/>
  <c r="H131" i="37"/>
  <c r="I131" i="37"/>
  <c r="B133" i="31"/>
  <c r="F133" i="31"/>
  <c r="E137" i="28"/>
  <c r="F137" i="28" s="1"/>
  <c r="B137" i="28"/>
  <c r="H136" i="28"/>
  <c r="I136" i="28"/>
  <c r="J131" i="34"/>
  <c r="J156" i="34" s="1"/>
  <c r="J135" i="27"/>
  <c r="D133" i="38"/>
  <c r="E133" i="38" s="1"/>
  <c r="G132" i="38"/>
  <c r="B139" i="19"/>
  <c r="F138" i="29"/>
  <c r="D137" i="27"/>
  <c r="G136" i="27"/>
  <c r="D137" i="21"/>
  <c r="E137" i="21" s="1"/>
  <c r="G136" i="21"/>
  <c r="E139" i="19"/>
  <c r="F139" i="19" s="1"/>
  <c r="H137" i="29"/>
  <c r="I137" i="29"/>
  <c r="H138" i="19"/>
  <c r="I138" i="19"/>
  <c r="G136" i="24"/>
  <c r="D137" i="24"/>
  <c r="E137" i="24" s="1"/>
  <c r="G133" i="13"/>
  <c r="D134" i="13"/>
  <c r="E134" i="13" s="1"/>
  <c r="D133" i="34"/>
  <c r="G132" i="34"/>
  <c r="J135" i="21"/>
  <c r="B140" i="3"/>
  <c r="B133" i="20"/>
  <c r="F133" i="20"/>
  <c r="H132" i="20"/>
  <c r="I132" i="20"/>
  <c r="H139" i="3"/>
  <c r="I139" i="3"/>
  <c r="B136" i="22"/>
  <c r="I135" i="22"/>
  <c r="H135" i="22"/>
  <c r="H140" i="23"/>
  <c r="I140" i="23"/>
  <c r="F141" i="23"/>
  <c r="E140" i="3"/>
  <c r="F140" i="3" s="1"/>
  <c r="E136" i="22"/>
  <c r="F136" i="22" s="1"/>
  <c r="H55" i="24" l="1"/>
  <c r="D56" i="24"/>
  <c r="G55" i="24"/>
  <c r="I55" i="24" s="1"/>
  <c r="J135" i="26"/>
  <c r="D137" i="26"/>
  <c r="G136" i="26"/>
  <c r="G52" i="25"/>
  <c r="I52" i="25" s="1"/>
  <c r="H50" i="31"/>
  <c r="I50" i="31" s="1"/>
  <c r="J132" i="20"/>
  <c r="G53" i="26"/>
  <c r="I53" i="26" s="1"/>
  <c r="H50" i="35"/>
  <c r="I50" i="35" s="1"/>
  <c r="I57" i="4"/>
  <c r="G139" i="18"/>
  <c r="D140" i="18"/>
  <c r="J132" i="31"/>
  <c r="D51" i="34"/>
  <c r="E51" i="34" s="1"/>
  <c r="F58" i="4"/>
  <c r="G58" i="4" s="1"/>
  <c r="B58" i="4"/>
  <c r="D55" i="27"/>
  <c r="E55" i="27" s="1"/>
  <c r="D50" i="37"/>
  <c r="E50" i="37"/>
  <c r="D53" i="13"/>
  <c r="E53" i="13" s="1"/>
  <c r="B57" i="18"/>
  <c r="F57" i="18"/>
  <c r="H52" i="13"/>
  <c r="I52" i="13" s="1"/>
  <c r="H50" i="34"/>
  <c r="G54" i="27"/>
  <c r="G50" i="34"/>
  <c r="D55" i="28"/>
  <c r="E55" i="28" s="1"/>
  <c r="D55" i="23"/>
  <c r="E55" i="23" s="1"/>
  <c r="B55" i="21"/>
  <c r="F55" i="21"/>
  <c r="H55" i="21" s="1"/>
  <c r="F54" i="22"/>
  <c r="H54" i="22" s="1"/>
  <c r="B54" i="22"/>
  <c r="H54" i="27"/>
  <c r="J139" i="4"/>
  <c r="G54" i="28"/>
  <c r="H54" i="23"/>
  <c r="I54" i="23" s="1"/>
  <c r="D49" i="38"/>
  <c r="E49" i="38" s="1"/>
  <c r="D52" i="29"/>
  <c r="E52" i="29" s="1"/>
  <c r="B59" i="3"/>
  <c r="F59" i="3"/>
  <c r="G59" i="3" s="1"/>
  <c r="F57" i="19"/>
  <c r="H57" i="19" s="1"/>
  <c r="B57" i="19"/>
  <c r="H51" i="29"/>
  <c r="H54" i="28"/>
  <c r="I56" i="19"/>
  <c r="H49" i="37"/>
  <c r="G48" i="38"/>
  <c r="G51" i="29"/>
  <c r="D54" i="26"/>
  <c r="E54" i="26" s="1"/>
  <c r="D53" i="25"/>
  <c r="E53" i="25" s="1"/>
  <c r="D51" i="35"/>
  <c r="E51" i="35" s="1"/>
  <c r="D51" i="31"/>
  <c r="E51" i="31" s="1"/>
  <c r="G49" i="37"/>
  <c r="H48" i="38"/>
  <c r="D134" i="35"/>
  <c r="G133" i="35"/>
  <c r="J140" i="23"/>
  <c r="J139" i="3"/>
  <c r="J136" i="28"/>
  <c r="D141" i="4"/>
  <c r="G140" i="4"/>
  <c r="J138" i="18"/>
  <c r="G132" i="37"/>
  <c r="D133" i="37"/>
  <c r="E133" i="37" s="1"/>
  <c r="D138" i="28"/>
  <c r="G137" i="28"/>
  <c r="D134" i="31"/>
  <c r="G133" i="31"/>
  <c r="J138" i="19"/>
  <c r="E136" i="25"/>
  <c r="F136" i="25" s="1"/>
  <c r="B136" i="25"/>
  <c r="J131" i="37"/>
  <c r="J156" i="37" s="1"/>
  <c r="H135" i="25"/>
  <c r="I135" i="25"/>
  <c r="F137" i="24"/>
  <c r="B137" i="24"/>
  <c r="B137" i="27"/>
  <c r="H136" i="27"/>
  <c r="I136" i="27"/>
  <c r="H133" i="13"/>
  <c r="I133" i="13"/>
  <c r="H136" i="24"/>
  <c r="I136" i="24"/>
  <c r="B133" i="34"/>
  <c r="D139" i="29"/>
  <c r="E139" i="29" s="1"/>
  <c r="G138" i="29"/>
  <c r="I136" i="21"/>
  <c r="H136" i="21"/>
  <c r="F134" i="13"/>
  <c r="B134" i="13"/>
  <c r="E133" i="34"/>
  <c r="F133" i="34" s="1"/>
  <c r="B137" i="21"/>
  <c r="F137" i="21"/>
  <c r="H132" i="38"/>
  <c r="I132" i="38"/>
  <c r="G139" i="19"/>
  <c r="D140" i="19"/>
  <c r="H132" i="34"/>
  <c r="I132" i="34"/>
  <c r="E137" i="27"/>
  <c r="F137" i="27" s="1"/>
  <c r="F133" i="38"/>
  <c r="B133" i="38"/>
  <c r="G140" i="3"/>
  <c r="D141" i="3"/>
  <c r="E141" i="3" s="1"/>
  <c r="D142" i="23"/>
  <c r="E142" i="23" s="1"/>
  <c r="G141" i="23"/>
  <c r="G136" i="22"/>
  <c r="D137" i="22"/>
  <c r="E137" i="22" s="1"/>
  <c r="D134" i="20"/>
  <c r="G133" i="20"/>
  <c r="J135" i="22"/>
  <c r="E56" i="24" l="1"/>
  <c r="F56" i="24" s="1"/>
  <c r="G56" i="24" s="1"/>
  <c r="B56" i="24"/>
  <c r="I54" i="28"/>
  <c r="I136" i="26"/>
  <c r="H136" i="26"/>
  <c r="E137" i="26"/>
  <c r="F137" i="26" s="1"/>
  <c r="B137" i="26"/>
  <c r="I51" i="29"/>
  <c r="I54" i="27"/>
  <c r="B140" i="18"/>
  <c r="E140" i="18"/>
  <c r="F140" i="18" s="1"/>
  <c r="H139" i="18"/>
  <c r="I139" i="18"/>
  <c r="I48" i="38"/>
  <c r="D58" i="18"/>
  <c r="E58" i="18" s="1"/>
  <c r="B55" i="27"/>
  <c r="F55" i="27"/>
  <c r="G55" i="27" s="1"/>
  <c r="F54" i="26"/>
  <c r="H54" i="26" s="1"/>
  <c r="B54" i="26"/>
  <c r="B49" i="38"/>
  <c r="F49" i="38"/>
  <c r="G49" i="38" s="1"/>
  <c r="D55" i="22"/>
  <c r="E55" i="22" s="1"/>
  <c r="B55" i="28"/>
  <c r="F55" i="28"/>
  <c r="H55" i="28" s="1"/>
  <c r="H57" i="18"/>
  <c r="B51" i="31"/>
  <c r="F51" i="31"/>
  <c r="D56" i="21"/>
  <c r="E56" i="21" s="1"/>
  <c r="D59" i="4"/>
  <c r="E59" i="4" s="1"/>
  <c r="I49" i="37"/>
  <c r="D58" i="19"/>
  <c r="E58" i="19" s="1"/>
  <c r="G55" i="21"/>
  <c r="I55" i="21" s="1"/>
  <c r="I50" i="34"/>
  <c r="F53" i="13"/>
  <c r="G53" i="13" s="1"/>
  <c r="B53" i="13"/>
  <c r="H58" i="4"/>
  <c r="I58" i="4" s="1"/>
  <c r="F51" i="35"/>
  <c r="B51" i="35"/>
  <c r="G57" i="19"/>
  <c r="I57" i="19" s="1"/>
  <c r="D60" i="3"/>
  <c r="E60" i="3" s="1"/>
  <c r="G54" i="22"/>
  <c r="I54" i="22" s="1"/>
  <c r="B55" i="23"/>
  <c r="F55" i="23"/>
  <c r="G55" i="23" s="1"/>
  <c r="F50" i="37"/>
  <c r="G50" i="37" s="1"/>
  <c r="B50" i="37"/>
  <c r="F51" i="34"/>
  <c r="G51" i="34" s="1"/>
  <c r="B51" i="34"/>
  <c r="F53" i="25"/>
  <c r="G53" i="25" s="1"/>
  <c r="B53" i="25"/>
  <c r="H59" i="3"/>
  <c r="I59" i="3" s="1"/>
  <c r="F52" i="29"/>
  <c r="H52" i="29" s="1"/>
  <c r="G57" i="18"/>
  <c r="H140" i="4"/>
  <c r="I140" i="4"/>
  <c r="B141" i="4"/>
  <c r="E141" i="4"/>
  <c r="F141" i="4" s="1"/>
  <c r="I133" i="35"/>
  <c r="H133" i="35"/>
  <c r="J136" i="24"/>
  <c r="E134" i="35"/>
  <c r="F134" i="35" s="1"/>
  <c r="B134" i="35"/>
  <c r="J136" i="27"/>
  <c r="I133" i="31"/>
  <c r="H133" i="31"/>
  <c r="E134" i="31"/>
  <c r="F134" i="31" s="1"/>
  <c r="B134" i="31"/>
  <c r="H137" i="28"/>
  <c r="I137" i="28"/>
  <c r="E138" i="28"/>
  <c r="F138" i="28" s="1"/>
  <c r="B138" i="28"/>
  <c r="G136" i="25"/>
  <c r="D137" i="25"/>
  <c r="B133" i="37"/>
  <c r="F133" i="37"/>
  <c r="H132" i="37"/>
  <c r="I132" i="37"/>
  <c r="G133" i="34"/>
  <c r="D134" i="34"/>
  <c r="E134" i="34" s="1"/>
  <c r="G137" i="27"/>
  <c r="D138" i="27"/>
  <c r="E138" i="27" s="1"/>
  <c r="H139" i="19"/>
  <c r="I139" i="19"/>
  <c r="J136" i="21"/>
  <c r="G137" i="24"/>
  <c r="D138" i="24"/>
  <c r="E138" i="24" s="1"/>
  <c r="B140" i="19"/>
  <c r="E140" i="19"/>
  <c r="F140" i="19" s="1"/>
  <c r="D138" i="21"/>
  <c r="E138" i="21" s="1"/>
  <c r="G137" i="21"/>
  <c r="H138" i="29"/>
  <c r="I138" i="29"/>
  <c r="G133" i="38"/>
  <c r="D134" i="38"/>
  <c r="F139" i="29"/>
  <c r="D135" i="13"/>
  <c r="E135" i="13" s="1"/>
  <c r="G134" i="13"/>
  <c r="B134" i="20"/>
  <c r="H136" i="22"/>
  <c r="I136" i="22"/>
  <c r="F137" i="22"/>
  <c r="B137" i="22"/>
  <c r="H133" i="20"/>
  <c r="I133" i="20"/>
  <c r="B141" i="3"/>
  <c r="F141" i="3"/>
  <c r="H141" i="23"/>
  <c r="I141" i="23"/>
  <c r="F142" i="23"/>
  <c r="E134" i="20"/>
  <c r="F134" i="20" s="1"/>
  <c r="H140" i="3"/>
  <c r="I140" i="3"/>
  <c r="H49" i="38" l="1"/>
  <c r="I49" i="38" s="1"/>
  <c r="H56" i="24"/>
  <c r="I56" i="24" s="1"/>
  <c r="D57" i="24"/>
  <c r="D138" i="26"/>
  <c r="G137" i="26"/>
  <c r="J136" i="26"/>
  <c r="J140" i="4"/>
  <c r="H53" i="25"/>
  <c r="I53" i="25" s="1"/>
  <c r="H55" i="23"/>
  <c r="I55" i="23" s="1"/>
  <c r="J139" i="18"/>
  <c r="H50" i="37"/>
  <c r="I50" i="37" s="1"/>
  <c r="G54" i="26"/>
  <c r="I54" i="26" s="1"/>
  <c r="D141" i="18"/>
  <c r="G140" i="18"/>
  <c r="D52" i="35"/>
  <c r="E52" i="35" s="1"/>
  <c r="F56" i="21"/>
  <c r="H56" i="21" s="1"/>
  <c r="B56" i="21"/>
  <c r="D52" i="34"/>
  <c r="E52" i="34" s="1"/>
  <c r="H51" i="35"/>
  <c r="I57" i="18"/>
  <c r="D56" i="27"/>
  <c r="E56" i="27" s="1"/>
  <c r="D56" i="28"/>
  <c r="E56" i="28" s="1"/>
  <c r="D50" i="38"/>
  <c r="E50" i="38"/>
  <c r="H55" i="27"/>
  <c r="I55" i="27" s="1"/>
  <c r="F58" i="19"/>
  <c r="B58" i="19"/>
  <c r="D52" i="31"/>
  <c r="E52" i="31" s="1"/>
  <c r="B60" i="3"/>
  <c r="F60" i="3"/>
  <c r="G60" i="3" s="1"/>
  <c r="H51" i="31"/>
  <c r="D54" i="25"/>
  <c r="E54" i="25" s="1"/>
  <c r="D51" i="37"/>
  <c r="E51" i="37" s="1"/>
  <c r="D54" i="13"/>
  <c r="G51" i="31"/>
  <c r="G55" i="28"/>
  <c r="I55" i="28" s="1"/>
  <c r="F58" i="18"/>
  <c r="G58" i="18" s="1"/>
  <c r="B58" i="18"/>
  <c r="D53" i="29"/>
  <c r="E53" i="29" s="1"/>
  <c r="H51" i="34"/>
  <c r="I51" i="34" s="1"/>
  <c r="H53" i="13"/>
  <c r="I53" i="13" s="1"/>
  <c r="B59" i="4"/>
  <c r="F59" i="4"/>
  <c r="H59" i="4" s="1"/>
  <c r="J139" i="19"/>
  <c r="G52" i="29"/>
  <c r="I52" i="29" s="1"/>
  <c r="D56" i="23"/>
  <c r="E56" i="23" s="1"/>
  <c r="G51" i="35"/>
  <c r="B55" i="22"/>
  <c r="F55" i="22"/>
  <c r="D55" i="26"/>
  <c r="E55" i="26" s="1"/>
  <c r="G134" i="35"/>
  <c r="D135" i="35"/>
  <c r="D142" i="4"/>
  <c r="G141" i="4"/>
  <c r="J137" i="28"/>
  <c r="J141" i="23"/>
  <c r="D134" i="37"/>
  <c r="G133" i="37"/>
  <c r="G134" i="31"/>
  <c r="D135" i="31"/>
  <c r="E137" i="25"/>
  <c r="F137" i="25" s="1"/>
  <c r="B137" i="25"/>
  <c r="H136" i="25"/>
  <c r="I136" i="25"/>
  <c r="J133" i="31"/>
  <c r="G138" i="28"/>
  <c r="D139" i="28"/>
  <c r="D141" i="19"/>
  <c r="E141" i="19" s="1"/>
  <c r="G140" i="19"/>
  <c r="H134" i="13"/>
  <c r="I134" i="13"/>
  <c r="B138" i="24"/>
  <c r="F138" i="24"/>
  <c r="J136" i="22"/>
  <c r="B135" i="13"/>
  <c r="F135" i="13"/>
  <c r="I137" i="24"/>
  <c r="H137" i="24"/>
  <c r="F138" i="27"/>
  <c r="B138" i="27"/>
  <c r="G139" i="29"/>
  <c r="D140" i="29"/>
  <c r="E140" i="29" s="1"/>
  <c r="J133" i="20"/>
  <c r="B134" i="38"/>
  <c r="H137" i="27"/>
  <c r="I137" i="27"/>
  <c r="H133" i="38"/>
  <c r="I133" i="38"/>
  <c r="E134" i="38"/>
  <c r="F134" i="38" s="1"/>
  <c r="H137" i="21"/>
  <c r="I137" i="21"/>
  <c r="B134" i="34"/>
  <c r="F134" i="34"/>
  <c r="B138" i="21"/>
  <c r="F138" i="21"/>
  <c r="H133" i="34"/>
  <c r="I133" i="34"/>
  <c r="G134" i="20"/>
  <c r="D135" i="20"/>
  <c r="E135" i="20" s="1"/>
  <c r="D143" i="23"/>
  <c r="E143" i="23" s="1"/>
  <c r="G142" i="23"/>
  <c r="G141" i="3"/>
  <c r="D142" i="3"/>
  <c r="J140" i="3"/>
  <c r="D138" i="22"/>
  <c r="E138" i="22" s="1"/>
  <c r="G137" i="22"/>
  <c r="G59" i="4" l="1"/>
  <c r="I59" i="4" s="1"/>
  <c r="E57" i="24"/>
  <c r="F57" i="24" s="1"/>
  <c r="B57" i="24"/>
  <c r="I137" i="26"/>
  <c r="H137" i="26"/>
  <c r="E138" i="26"/>
  <c r="F138" i="26" s="1"/>
  <c r="B138" i="26"/>
  <c r="H58" i="18"/>
  <c r="I58" i="18" s="1"/>
  <c r="G56" i="21"/>
  <c r="I56" i="21" s="1"/>
  <c r="I51" i="31"/>
  <c r="H60" i="3"/>
  <c r="I60" i="3" s="1"/>
  <c r="I140" i="18"/>
  <c r="H140" i="18"/>
  <c r="E141" i="18"/>
  <c r="F141" i="18" s="1"/>
  <c r="B141" i="18"/>
  <c r="D56" i="22"/>
  <c r="E56" i="22" s="1"/>
  <c r="F53" i="29"/>
  <c r="H53" i="29" s="1"/>
  <c r="B54" i="13"/>
  <c r="D59" i="19"/>
  <c r="E59" i="19" s="1"/>
  <c r="F52" i="34"/>
  <c r="G52" i="34" s="1"/>
  <c r="B52" i="34"/>
  <c r="G55" i="22"/>
  <c r="F51" i="37"/>
  <c r="H51" i="37" s="1"/>
  <c r="B51" i="37"/>
  <c r="H55" i="22"/>
  <c r="D60" i="4"/>
  <c r="E60" i="4" s="1"/>
  <c r="F50" i="38"/>
  <c r="G50" i="38" s="1"/>
  <c r="B50" i="38"/>
  <c r="D59" i="18"/>
  <c r="B54" i="25"/>
  <c r="F54" i="25"/>
  <c r="F52" i="31"/>
  <c r="G52" i="31" s="1"/>
  <c r="B52" i="31"/>
  <c r="F56" i="27"/>
  <c r="G56" i="27" s="1"/>
  <c r="B56" i="27"/>
  <c r="D57" i="21"/>
  <c r="E57" i="21" s="1"/>
  <c r="B56" i="23"/>
  <c r="F56" i="23"/>
  <c r="G56" i="23" s="1"/>
  <c r="F56" i="28"/>
  <c r="G56" i="28" s="1"/>
  <c r="B56" i="28"/>
  <c r="G58" i="19"/>
  <c r="I51" i="35"/>
  <c r="F52" i="35"/>
  <c r="G52" i="35" s="1"/>
  <c r="B52" i="35"/>
  <c r="F55" i="26"/>
  <c r="B55" i="26"/>
  <c r="E54" i="13"/>
  <c r="F54" i="13" s="1"/>
  <c r="D61" i="3"/>
  <c r="E61" i="3" s="1"/>
  <c r="H58" i="19"/>
  <c r="I141" i="4"/>
  <c r="H141" i="4"/>
  <c r="B142" i="4"/>
  <c r="E142" i="4"/>
  <c r="F142" i="4" s="1"/>
  <c r="E135" i="35"/>
  <c r="F135" i="35" s="1"/>
  <c r="B135" i="35"/>
  <c r="H134" i="35"/>
  <c r="I134" i="35"/>
  <c r="G137" i="25"/>
  <c r="D138" i="25"/>
  <c r="E139" i="28"/>
  <c r="F139" i="28" s="1"/>
  <c r="B139" i="28"/>
  <c r="E135" i="31"/>
  <c r="F135" i="31" s="1"/>
  <c r="B135" i="31"/>
  <c r="H138" i="28"/>
  <c r="I138" i="28"/>
  <c r="H134" i="31"/>
  <c r="I134" i="31"/>
  <c r="H133" i="37"/>
  <c r="I133" i="37"/>
  <c r="E134" i="37"/>
  <c r="F134" i="37" s="1"/>
  <c r="B134" i="37"/>
  <c r="D135" i="34"/>
  <c r="E135" i="34" s="1"/>
  <c r="G134" i="34"/>
  <c r="D139" i="27"/>
  <c r="E139" i="27" s="1"/>
  <c r="G138" i="27"/>
  <c r="D136" i="13"/>
  <c r="E136" i="13" s="1"/>
  <c r="G135" i="13"/>
  <c r="G138" i="21"/>
  <c r="D139" i="21"/>
  <c r="E139" i="21" s="1"/>
  <c r="G134" i="38"/>
  <c r="D135" i="38"/>
  <c r="E135" i="38" s="1"/>
  <c r="H140" i="19"/>
  <c r="I140" i="19"/>
  <c r="J137" i="24"/>
  <c r="D139" i="24"/>
  <c r="E139" i="24" s="1"/>
  <c r="G138" i="24"/>
  <c r="H139" i="29"/>
  <c r="I139" i="29"/>
  <c r="J137" i="21"/>
  <c r="J137" i="27"/>
  <c r="F140" i="29"/>
  <c r="B141" i="19"/>
  <c r="F141" i="19"/>
  <c r="B135" i="20"/>
  <c r="F135" i="20"/>
  <c r="I141" i="3"/>
  <c r="H141" i="3"/>
  <c r="H142" i="23"/>
  <c r="I142" i="23"/>
  <c r="H134" i="20"/>
  <c r="I134" i="20"/>
  <c r="B142" i="3"/>
  <c r="E142" i="3"/>
  <c r="F142" i="3" s="1"/>
  <c r="F143" i="23"/>
  <c r="H137" i="22"/>
  <c r="I137" i="22"/>
  <c r="B138" i="22"/>
  <c r="F138" i="22"/>
  <c r="H57" i="24" l="1"/>
  <c r="D58" i="24"/>
  <c r="G57" i="24"/>
  <c r="J137" i="26"/>
  <c r="G138" i="26"/>
  <c r="D139" i="26"/>
  <c r="B139" i="26" s="1"/>
  <c r="G53" i="29"/>
  <c r="I53" i="29" s="1"/>
  <c r="H50" i="38"/>
  <c r="I50" i="38" s="1"/>
  <c r="J138" i="28"/>
  <c r="J134" i="31"/>
  <c r="H56" i="23"/>
  <c r="I56" i="23" s="1"/>
  <c r="H56" i="28"/>
  <c r="I56" i="28" s="1"/>
  <c r="H56" i="27"/>
  <c r="I56" i="27" s="1"/>
  <c r="G141" i="18"/>
  <c r="D142" i="18"/>
  <c r="J140" i="18"/>
  <c r="H52" i="34"/>
  <c r="I52" i="34" s="1"/>
  <c r="H52" i="35"/>
  <c r="I52" i="35" s="1"/>
  <c r="D55" i="13"/>
  <c r="H54" i="13"/>
  <c r="G54" i="13"/>
  <c r="D56" i="26"/>
  <c r="E56" i="26" s="1"/>
  <c r="B59" i="18"/>
  <c r="G55" i="26"/>
  <c r="I58" i="19"/>
  <c r="B57" i="21"/>
  <c r="F57" i="21"/>
  <c r="G57" i="21" s="1"/>
  <c r="D53" i="31"/>
  <c r="E53" i="31" s="1"/>
  <c r="D52" i="37"/>
  <c r="E52" i="37" s="1"/>
  <c r="D55" i="25"/>
  <c r="E55" i="25" s="1"/>
  <c r="G51" i="37"/>
  <c r="I51" i="37" s="1"/>
  <c r="J134" i="20"/>
  <c r="B61" i="3"/>
  <c r="F61" i="3"/>
  <c r="D57" i="28"/>
  <c r="E57" i="28" s="1"/>
  <c r="H54" i="25"/>
  <c r="D51" i="38"/>
  <c r="E51" i="38" s="1"/>
  <c r="D53" i="34"/>
  <c r="E53" i="34" s="1"/>
  <c r="D53" i="35"/>
  <c r="E53" i="35" s="1"/>
  <c r="D54" i="29"/>
  <c r="E54" i="29" s="1"/>
  <c r="D57" i="27"/>
  <c r="E57" i="27" s="1"/>
  <c r="G54" i="25"/>
  <c r="F60" i="4"/>
  <c r="H60" i="4" s="1"/>
  <c r="B60" i="4"/>
  <c r="B59" i="19"/>
  <c r="F59" i="19"/>
  <c r="H59" i="19" s="1"/>
  <c r="J137" i="22"/>
  <c r="H55" i="26"/>
  <c r="D57" i="23"/>
  <c r="E57" i="23" s="1"/>
  <c r="H52" i="31"/>
  <c r="I52" i="31" s="1"/>
  <c r="E59" i="18"/>
  <c r="F59" i="18" s="1"/>
  <c r="I55" i="22"/>
  <c r="B56" i="22"/>
  <c r="F56" i="22"/>
  <c r="H56" i="22" s="1"/>
  <c r="D136" i="35"/>
  <c r="E136" i="35" s="1"/>
  <c r="G135" i="35"/>
  <c r="D143" i="4"/>
  <c r="G142" i="4"/>
  <c r="J142" i="23"/>
  <c r="J141" i="4"/>
  <c r="D135" i="37"/>
  <c r="G134" i="37"/>
  <c r="D136" i="31"/>
  <c r="G135" i="31"/>
  <c r="G139" i="28"/>
  <c r="D140" i="28"/>
  <c r="E138" i="25"/>
  <c r="F138" i="25" s="1"/>
  <c r="B138" i="25"/>
  <c r="H137" i="25"/>
  <c r="I137" i="25"/>
  <c r="J140" i="19"/>
  <c r="H134" i="38"/>
  <c r="I134" i="38"/>
  <c r="F136" i="13"/>
  <c r="B136" i="13"/>
  <c r="H134" i="34"/>
  <c r="I134" i="34"/>
  <c r="B135" i="34"/>
  <c r="F135" i="34"/>
  <c r="D142" i="19"/>
  <c r="E142" i="19" s="1"/>
  <c r="G141" i="19"/>
  <c r="G140" i="29"/>
  <c r="D141" i="29"/>
  <c r="E141" i="29" s="1"/>
  <c r="B139" i="21"/>
  <c r="F139" i="21"/>
  <c r="H138" i="24"/>
  <c r="I138" i="24"/>
  <c r="I138" i="21"/>
  <c r="H138" i="21"/>
  <c r="F139" i="27"/>
  <c r="B139" i="27"/>
  <c r="B139" i="24"/>
  <c r="F139" i="24"/>
  <c r="B135" i="38"/>
  <c r="F135" i="38"/>
  <c r="H135" i="13"/>
  <c r="I135" i="13"/>
  <c r="I138" i="27"/>
  <c r="H138" i="27"/>
  <c r="J141" i="3"/>
  <c r="G142" i="3"/>
  <c r="D143" i="3"/>
  <c r="G135" i="20"/>
  <c r="D136" i="20"/>
  <c r="E136" i="20" s="1"/>
  <c r="G143" i="23"/>
  <c r="D144" i="23"/>
  <c r="E144" i="23" s="1"/>
  <c r="G138" i="22"/>
  <c r="D139" i="22"/>
  <c r="I57" i="24" l="1"/>
  <c r="E58" i="24"/>
  <c r="F58" i="24" s="1"/>
  <c r="G58" i="24" s="1"/>
  <c r="B58" i="24"/>
  <c r="E139" i="26"/>
  <c r="F139" i="26" s="1"/>
  <c r="H138" i="26"/>
  <c r="I138" i="26"/>
  <c r="H57" i="21"/>
  <c r="I57" i="21" s="1"/>
  <c r="G59" i="19"/>
  <c r="I59" i="19" s="1"/>
  <c r="E142" i="18"/>
  <c r="F142" i="18" s="1"/>
  <c r="B142" i="18"/>
  <c r="I55" i="26"/>
  <c r="H141" i="18"/>
  <c r="I141" i="18"/>
  <c r="D60" i="18"/>
  <c r="E60" i="18" s="1"/>
  <c r="H59" i="18"/>
  <c r="G59" i="18"/>
  <c r="F54" i="29"/>
  <c r="B57" i="28"/>
  <c r="F57" i="28"/>
  <c r="B55" i="25"/>
  <c r="F55" i="25"/>
  <c r="D57" i="22"/>
  <c r="E57" i="22" s="1"/>
  <c r="D62" i="3"/>
  <c r="D61" i="4"/>
  <c r="E61" i="4" s="1"/>
  <c r="G61" i="3"/>
  <c r="B52" i="37"/>
  <c r="F52" i="37"/>
  <c r="H52" i="37" s="1"/>
  <c r="F56" i="26"/>
  <c r="G56" i="26" s="1"/>
  <c r="B56" i="26"/>
  <c r="B53" i="35"/>
  <c r="F53" i="35"/>
  <c r="H53" i="35" s="1"/>
  <c r="H61" i="3"/>
  <c r="D60" i="19"/>
  <c r="E60" i="19" s="1"/>
  <c r="F57" i="27"/>
  <c r="H57" i="27" s="1"/>
  <c r="B57" i="27"/>
  <c r="F51" i="38"/>
  <c r="G51" i="38" s="1"/>
  <c r="B51" i="38"/>
  <c r="F53" i="31"/>
  <c r="G53" i="31" s="1"/>
  <c r="B53" i="31"/>
  <c r="I54" i="13"/>
  <c r="I54" i="25"/>
  <c r="B55" i="13"/>
  <c r="G56" i="22"/>
  <c r="I56" i="22" s="1"/>
  <c r="F57" i="23"/>
  <c r="B57" i="23"/>
  <c r="G60" i="4"/>
  <c r="I60" i="4" s="1"/>
  <c r="F53" i="34"/>
  <c r="G53" i="34" s="1"/>
  <c r="B53" i="34"/>
  <c r="D58" i="21"/>
  <c r="E55" i="13"/>
  <c r="F55" i="13" s="1"/>
  <c r="B143" i="4"/>
  <c r="E143" i="4"/>
  <c r="F143" i="4" s="1"/>
  <c r="I135" i="35"/>
  <c r="H135" i="35"/>
  <c r="I142" i="4"/>
  <c r="H142" i="4"/>
  <c r="F136" i="35"/>
  <c r="B136" i="35"/>
  <c r="E140" i="28"/>
  <c r="F140" i="28" s="1"/>
  <c r="B140" i="28"/>
  <c r="H139" i="28"/>
  <c r="I139" i="28"/>
  <c r="I135" i="31"/>
  <c r="H135" i="31"/>
  <c r="G138" i="25"/>
  <c r="D139" i="25"/>
  <c r="E139" i="25" s="1"/>
  <c r="E136" i="31"/>
  <c r="F136" i="31" s="1"/>
  <c r="B136" i="31"/>
  <c r="J138" i="24"/>
  <c r="H134" i="37"/>
  <c r="I134" i="37"/>
  <c r="E135" i="37"/>
  <c r="F135" i="37" s="1"/>
  <c r="B135" i="37"/>
  <c r="J138" i="21"/>
  <c r="J138" i="27"/>
  <c r="F141" i="29"/>
  <c r="D136" i="34"/>
  <c r="E136" i="34" s="1"/>
  <c r="G135" i="34"/>
  <c r="G135" i="38"/>
  <c r="D136" i="38"/>
  <c r="E136" i="38" s="1"/>
  <c r="I140" i="29"/>
  <c r="H140" i="29"/>
  <c r="D137" i="13"/>
  <c r="G136" i="13"/>
  <c r="G139" i="21"/>
  <c r="D140" i="21"/>
  <c r="E140" i="21" s="1"/>
  <c r="H141" i="19"/>
  <c r="I141" i="19"/>
  <c r="D140" i="24"/>
  <c r="E140" i="24" s="1"/>
  <c r="G139" i="24"/>
  <c r="G139" i="27"/>
  <c r="D140" i="27"/>
  <c r="E140" i="27" s="1"/>
  <c r="F142" i="19"/>
  <c r="B142" i="19"/>
  <c r="H142" i="3"/>
  <c r="I142" i="3"/>
  <c r="F136" i="20"/>
  <c r="B136" i="20"/>
  <c r="F144" i="23"/>
  <c r="B139" i="22"/>
  <c r="I135" i="20"/>
  <c r="H135" i="20"/>
  <c r="H143" i="23"/>
  <c r="I143" i="23"/>
  <c r="H138" i="22"/>
  <c r="I138" i="22"/>
  <c r="B143" i="3"/>
  <c r="E139" i="22"/>
  <c r="F139" i="22" s="1"/>
  <c r="E143" i="3"/>
  <c r="F143" i="3" s="1"/>
  <c r="J138" i="26" l="1"/>
  <c r="H58" i="24"/>
  <c r="I58" i="24" s="1"/>
  <c r="D59" i="24"/>
  <c r="G139" i="26"/>
  <c r="D140" i="26"/>
  <c r="J139" i="28"/>
  <c r="G53" i="35"/>
  <c r="I53" i="35" s="1"/>
  <c r="H53" i="31"/>
  <c r="I53" i="31" s="1"/>
  <c r="H51" i="38"/>
  <c r="I51" i="38" s="1"/>
  <c r="I61" i="3"/>
  <c r="J141" i="18"/>
  <c r="H56" i="26"/>
  <c r="I56" i="26" s="1"/>
  <c r="G142" i="18"/>
  <c r="D143" i="18"/>
  <c r="G52" i="37"/>
  <c r="I52" i="37" s="1"/>
  <c r="D56" i="13"/>
  <c r="G55" i="13"/>
  <c r="H55" i="13"/>
  <c r="B58" i="21"/>
  <c r="D58" i="23"/>
  <c r="B62" i="3"/>
  <c r="D58" i="28"/>
  <c r="E58" i="28" s="1"/>
  <c r="H57" i="23"/>
  <c r="D54" i="35"/>
  <c r="E54" i="35" s="1"/>
  <c r="I59" i="18"/>
  <c r="D54" i="34"/>
  <c r="E54" i="34" s="1"/>
  <c r="D53" i="37"/>
  <c r="E53" i="37" s="1"/>
  <c r="H57" i="28"/>
  <c r="D58" i="27"/>
  <c r="E58" i="27" s="1"/>
  <c r="F57" i="22"/>
  <c r="B57" i="22"/>
  <c r="G57" i="28"/>
  <c r="B60" i="18"/>
  <c r="F60" i="18"/>
  <c r="H60" i="18" s="1"/>
  <c r="H53" i="34"/>
  <c r="I53" i="34" s="1"/>
  <c r="D54" i="31"/>
  <c r="E54" i="31" s="1"/>
  <c r="G57" i="27"/>
  <c r="I57" i="27" s="1"/>
  <c r="D56" i="25"/>
  <c r="E56" i="25" s="1"/>
  <c r="D55" i="29"/>
  <c r="E55" i="29" s="1"/>
  <c r="H55" i="25"/>
  <c r="G54" i="29"/>
  <c r="F60" i="19"/>
  <c r="H60" i="19" s="1"/>
  <c r="B60" i="19"/>
  <c r="D57" i="26"/>
  <c r="E57" i="26" s="1"/>
  <c r="F61" i="4"/>
  <c r="H61" i="4" s="1"/>
  <c r="B61" i="4"/>
  <c r="G55" i="25"/>
  <c r="H54" i="29"/>
  <c r="E58" i="21"/>
  <c r="F58" i="21" s="1"/>
  <c r="G57" i="23"/>
  <c r="D52" i="38"/>
  <c r="E52" i="38" s="1"/>
  <c r="E62" i="3"/>
  <c r="F62" i="3" s="1"/>
  <c r="D137" i="35"/>
  <c r="G136" i="35"/>
  <c r="J142" i="4"/>
  <c r="J142" i="3"/>
  <c r="G143" i="4"/>
  <c r="D144" i="4"/>
  <c r="G135" i="37"/>
  <c r="D136" i="37"/>
  <c r="B136" i="37" s="1"/>
  <c r="J135" i="31"/>
  <c r="J141" i="19"/>
  <c r="G136" i="31"/>
  <c r="D137" i="31"/>
  <c r="G140" i="28"/>
  <c r="D141" i="28"/>
  <c r="B139" i="25"/>
  <c r="F139" i="25"/>
  <c r="I138" i="25"/>
  <c r="H138" i="25"/>
  <c r="B137" i="13"/>
  <c r="F136" i="38"/>
  <c r="B136" i="38"/>
  <c r="E137" i="13"/>
  <c r="F137" i="13" s="1"/>
  <c r="H135" i="38"/>
  <c r="I135" i="38"/>
  <c r="H136" i="13"/>
  <c r="I136" i="13"/>
  <c r="H135" i="34"/>
  <c r="I135" i="34"/>
  <c r="I139" i="27"/>
  <c r="H139" i="27"/>
  <c r="G142" i="19"/>
  <c r="D143" i="19"/>
  <c r="E143" i="19" s="1"/>
  <c r="I139" i="24"/>
  <c r="H139" i="24"/>
  <c r="B136" i="34"/>
  <c r="F136" i="34"/>
  <c r="F140" i="24"/>
  <c r="B140" i="24"/>
  <c r="B140" i="21"/>
  <c r="F140" i="21"/>
  <c r="G141" i="29"/>
  <c r="D142" i="29"/>
  <c r="F140" i="27"/>
  <c r="B140" i="27"/>
  <c r="I139" i="21"/>
  <c r="H139" i="21"/>
  <c r="D144" i="3"/>
  <c r="E144" i="3" s="1"/>
  <c r="G143" i="3"/>
  <c r="G139" i="22"/>
  <c r="D140" i="22"/>
  <c r="E140" i="22" s="1"/>
  <c r="D137" i="20"/>
  <c r="E137" i="20" s="1"/>
  <c r="G136" i="20"/>
  <c r="J135" i="20"/>
  <c r="J138" i="22"/>
  <c r="J143" i="23"/>
  <c r="G144" i="23"/>
  <c r="D145" i="23"/>
  <c r="E145" i="23" s="1"/>
  <c r="G60" i="18" l="1"/>
  <c r="E59" i="24"/>
  <c r="F59" i="24" s="1"/>
  <c r="B59" i="24"/>
  <c r="E140" i="26"/>
  <c r="F140" i="26" s="1"/>
  <c r="B140" i="26"/>
  <c r="H139" i="26"/>
  <c r="I139" i="26"/>
  <c r="G61" i="4"/>
  <c r="I61" i="4" s="1"/>
  <c r="I55" i="13"/>
  <c r="I54" i="29"/>
  <c r="I57" i="28"/>
  <c r="G60" i="19"/>
  <c r="I60" i="19" s="1"/>
  <c r="I60" i="18"/>
  <c r="E143" i="18"/>
  <c r="F143" i="18" s="1"/>
  <c r="B143" i="18"/>
  <c r="I142" i="18"/>
  <c r="H142" i="18"/>
  <c r="I55" i="25"/>
  <c r="D63" i="3"/>
  <c r="E63" i="3" s="1"/>
  <c r="G62" i="3"/>
  <c r="H62" i="3"/>
  <c r="D59" i="21"/>
  <c r="E59" i="21" s="1"/>
  <c r="G58" i="21"/>
  <c r="H58" i="21"/>
  <c r="B54" i="34"/>
  <c r="F54" i="34"/>
  <c r="H54" i="34" s="1"/>
  <c r="B57" i="26"/>
  <c r="F57" i="26"/>
  <c r="D58" i="22"/>
  <c r="E58" i="22" s="1"/>
  <c r="F55" i="29"/>
  <c r="H55" i="29" s="1"/>
  <c r="D61" i="18"/>
  <c r="B58" i="27"/>
  <c r="F58" i="27"/>
  <c r="H58" i="27" s="1"/>
  <c r="F56" i="25"/>
  <c r="H56" i="25" s="1"/>
  <c r="B56" i="25"/>
  <c r="B54" i="35"/>
  <c r="F54" i="35"/>
  <c r="G54" i="35" s="1"/>
  <c r="D61" i="19"/>
  <c r="E61" i="19" s="1"/>
  <c r="I57" i="23"/>
  <c r="B58" i="23"/>
  <c r="G57" i="22"/>
  <c r="F53" i="37"/>
  <c r="G53" i="37" s="1"/>
  <c r="B53" i="37"/>
  <c r="E58" i="23"/>
  <c r="F58" i="23" s="1"/>
  <c r="B56" i="13"/>
  <c r="F52" i="38"/>
  <c r="H52" i="38" s="1"/>
  <c r="B52" i="38"/>
  <c r="D62" i="4"/>
  <c r="E62" i="4" s="1"/>
  <c r="F54" i="31"/>
  <c r="G54" i="31" s="1"/>
  <c r="B54" i="31"/>
  <c r="H57" i="22"/>
  <c r="B58" i="28"/>
  <c r="F58" i="28"/>
  <c r="G58" i="28" s="1"/>
  <c r="E56" i="13"/>
  <c r="F56" i="13" s="1"/>
  <c r="I143" i="4"/>
  <c r="H143" i="4"/>
  <c r="H136" i="35"/>
  <c r="I136" i="35"/>
  <c r="E144" i="4"/>
  <c r="F144" i="4" s="1"/>
  <c r="B144" i="4"/>
  <c r="E136" i="37"/>
  <c r="F136" i="37" s="1"/>
  <c r="E137" i="35"/>
  <c r="F137" i="35" s="1"/>
  <c r="B137" i="35"/>
  <c r="H140" i="28"/>
  <c r="I140" i="28"/>
  <c r="E137" i="31"/>
  <c r="F137" i="31" s="1"/>
  <c r="B137" i="31"/>
  <c r="H136" i="31"/>
  <c r="I136" i="31"/>
  <c r="D140" i="25"/>
  <c r="G139" i="25"/>
  <c r="E141" i="28"/>
  <c r="F141" i="28" s="1"/>
  <c r="B141" i="28"/>
  <c r="H135" i="37"/>
  <c r="I135" i="37"/>
  <c r="J139" i="27"/>
  <c r="J139" i="24"/>
  <c r="J139" i="21"/>
  <c r="I141" i="29"/>
  <c r="H141" i="29"/>
  <c r="D138" i="13"/>
  <c r="E138" i="13" s="1"/>
  <c r="G137" i="13"/>
  <c r="G140" i="27"/>
  <c r="D141" i="27"/>
  <c r="E141" i="27" s="1"/>
  <c r="D137" i="34"/>
  <c r="G136" i="34"/>
  <c r="I142" i="19"/>
  <c r="H142" i="19"/>
  <c r="G140" i="21"/>
  <c r="D141" i="21"/>
  <c r="E141" i="21" s="1"/>
  <c r="E142" i="29"/>
  <c r="F142" i="29" s="1"/>
  <c r="G140" i="24"/>
  <c r="D141" i="24"/>
  <c r="E141" i="24" s="1"/>
  <c r="F143" i="19"/>
  <c r="B143" i="19"/>
  <c r="G136" i="38"/>
  <c r="D137" i="38"/>
  <c r="E137" i="38" s="1"/>
  <c r="I136" i="20"/>
  <c r="H136" i="20"/>
  <c r="I139" i="22"/>
  <c r="H139" i="22"/>
  <c r="H144" i="23"/>
  <c r="I144" i="23"/>
  <c r="F145" i="23"/>
  <c r="F137" i="20"/>
  <c r="B137" i="20"/>
  <c r="H143" i="3"/>
  <c r="I143" i="3"/>
  <c r="F140" i="22"/>
  <c r="B140" i="22"/>
  <c r="B144" i="3"/>
  <c r="F144" i="3"/>
  <c r="G54" i="34" l="1"/>
  <c r="I54" i="34" s="1"/>
  <c r="D60" i="24"/>
  <c r="E60" i="24" s="1"/>
  <c r="F60" i="24" s="1"/>
  <c r="D61" i="24" s="1"/>
  <c r="H59" i="24"/>
  <c r="G59" i="24"/>
  <c r="D141" i="26"/>
  <c r="G140" i="26"/>
  <c r="J139" i="26"/>
  <c r="J136" i="31"/>
  <c r="J140" i="28"/>
  <c r="H54" i="35"/>
  <c r="I54" i="35" s="1"/>
  <c r="I62" i="3"/>
  <c r="G143" i="18"/>
  <c r="D144" i="18"/>
  <c r="B144" i="18" s="1"/>
  <c r="H58" i="23"/>
  <c r="G58" i="23"/>
  <c r="J142" i="18"/>
  <c r="D57" i="13"/>
  <c r="E57" i="13" s="1"/>
  <c r="H56" i="13"/>
  <c r="G56" i="13"/>
  <c r="B61" i="18"/>
  <c r="D58" i="26"/>
  <c r="E58" i="26" s="1"/>
  <c r="I58" i="21"/>
  <c r="D53" i="38"/>
  <c r="E53" i="38" s="1"/>
  <c r="D57" i="25"/>
  <c r="D55" i="31"/>
  <c r="E55" i="31" s="1"/>
  <c r="D54" i="37"/>
  <c r="E54" i="37" s="1"/>
  <c r="F61" i="19"/>
  <c r="G61" i="19" s="1"/>
  <c r="B61" i="19"/>
  <c r="G56" i="25"/>
  <c r="I56" i="25" s="1"/>
  <c r="D56" i="29"/>
  <c r="E56" i="29" s="1"/>
  <c r="H57" i="26"/>
  <c r="H54" i="31"/>
  <c r="I54" i="31" s="1"/>
  <c r="G55" i="29"/>
  <c r="I55" i="29" s="1"/>
  <c r="G57" i="26"/>
  <c r="F59" i="21"/>
  <c r="H59" i="21" s="1"/>
  <c r="B59" i="21"/>
  <c r="D59" i="28"/>
  <c r="E59" i="28" s="1"/>
  <c r="D59" i="27"/>
  <c r="E59" i="27" s="1"/>
  <c r="B62" i="4"/>
  <c r="F62" i="4"/>
  <c r="D55" i="35"/>
  <c r="E55" i="35" s="1"/>
  <c r="G58" i="27"/>
  <c r="I58" i="27" s="1"/>
  <c r="H58" i="28"/>
  <c r="I58" i="28" s="1"/>
  <c r="D55" i="34"/>
  <c r="E55" i="34" s="1"/>
  <c r="I57" i="22"/>
  <c r="G52" i="38"/>
  <c r="I52" i="38" s="1"/>
  <c r="H53" i="37"/>
  <c r="I53" i="37" s="1"/>
  <c r="D59" i="23"/>
  <c r="E59" i="23" s="1"/>
  <c r="E61" i="18"/>
  <c r="F61" i="18" s="1"/>
  <c r="B58" i="22"/>
  <c r="F58" i="22"/>
  <c r="G58" i="22" s="1"/>
  <c r="B63" i="3"/>
  <c r="F63" i="3"/>
  <c r="G63" i="3" s="1"/>
  <c r="G144" i="4"/>
  <c r="D145" i="4"/>
  <c r="D137" i="37"/>
  <c r="G136" i="37"/>
  <c r="G137" i="35"/>
  <c r="D138" i="35"/>
  <c r="E138" i="35" s="1"/>
  <c r="J143" i="4"/>
  <c r="E140" i="25"/>
  <c r="F140" i="25" s="1"/>
  <c r="B140" i="25"/>
  <c r="G137" i="31"/>
  <c r="D138" i="31"/>
  <c r="E138" i="31" s="1"/>
  <c r="D142" i="28"/>
  <c r="G141" i="28"/>
  <c r="I139" i="25"/>
  <c r="H139" i="25"/>
  <c r="G142" i="29"/>
  <c r="D143" i="29"/>
  <c r="E143" i="29" s="1"/>
  <c r="B137" i="34"/>
  <c r="H137" i="13"/>
  <c r="I137" i="13"/>
  <c r="H136" i="38"/>
  <c r="I136" i="38"/>
  <c r="F141" i="21"/>
  <c r="B141" i="21"/>
  <c r="B141" i="27"/>
  <c r="F141" i="27"/>
  <c r="F138" i="13"/>
  <c r="B138" i="13"/>
  <c r="I140" i="21"/>
  <c r="H140" i="21"/>
  <c r="H140" i="27"/>
  <c r="I140" i="27"/>
  <c r="B137" i="38"/>
  <c r="F137" i="38"/>
  <c r="G143" i="19"/>
  <c r="D144" i="19"/>
  <c r="E144" i="19" s="1"/>
  <c r="J143" i="3"/>
  <c r="J142" i="19"/>
  <c r="B141" i="24"/>
  <c r="F141" i="24"/>
  <c r="E137" i="34"/>
  <c r="F137" i="34" s="1"/>
  <c r="J144" i="23"/>
  <c r="I140" i="24"/>
  <c r="H140" i="24"/>
  <c r="H136" i="34"/>
  <c r="I136" i="34"/>
  <c r="J139" i="22"/>
  <c r="G140" i="22"/>
  <c r="D141" i="22"/>
  <c r="E141" i="22" s="1"/>
  <c r="J136" i="20"/>
  <c r="G137" i="20"/>
  <c r="D138" i="20"/>
  <c r="E138" i="20" s="1"/>
  <c r="G144" i="3"/>
  <c r="D145" i="3"/>
  <c r="E145" i="3" s="1"/>
  <c r="G145" i="23"/>
  <c r="D146" i="23"/>
  <c r="E146" i="23" s="1"/>
  <c r="I59" i="24" l="1"/>
  <c r="E61" i="24"/>
  <c r="F61" i="24" s="1"/>
  <c r="B61" i="24"/>
  <c r="B60" i="24"/>
  <c r="G60" i="24"/>
  <c r="H60" i="24"/>
  <c r="H140" i="26"/>
  <c r="I140" i="26"/>
  <c r="E141" i="26"/>
  <c r="F141" i="26" s="1"/>
  <c r="B141" i="26"/>
  <c r="E144" i="18"/>
  <c r="F144" i="18" s="1"/>
  <c r="G59" i="21"/>
  <c r="I59" i="21" s="1"/>
  <c r="I58" i="23"/>
  <c r="I57" i="26"/>
  <c r="I143" i="18"/>
  <c r="H143" i="18"/>
  <c r="D62" i="18"/>
  <c r="E62" i="18" s="1"/>
  <c r="H61" i="18"/>
  <c r="G61" i="18"/>
  <c r="B55" i="35"/>
  <c r="F55" i="35"/>
  <c r="H55" i="35" s="1"/>
  <c r="B57" i="25"/>
  <c r="D64" i="3"/>
  <c r="E64" i="3" s="1"/>
  <c r="D63" i="4"/>
  <c r="E63" i="4" s="1"/>
  <c r="F59" i="28"/>
  <c r="G59" i="28" s="1"/>
  <c r="B59" i="28"/>
  <c r="D62" i="19"/>
  <c r="E62" i="19" s="1"/>
  <c r="B59" i="23"/>
  <c r="F59" i="23"/>
  <c r="F53" i="38"/>
  <c r="G53" i="38" s="1"/>
  <c r="B53" i="38"/>
  <c r="H63" i="3"/>
  <c r="I63" i="3" s="1"/>
  <c r="G62" i="4"/>
  <c r="B54" i="37"/>
  <c r="F54" i="37"/>
  <c r="H54" i="37" s="1"/>
  <c r="H62" i="4"/>
  <c r="D60" i="21"/>
  <c r="E60" i="21" s="1"/>
  <c r="F56" i="29"/>
  <c r="D59" i="22"/>
  <c r="E59" i="22" s="1"/>
  <c r="B55" i="31"/>
  <c r="F55" i="31"/>
  <c r="B58" i="26"/>
  <c r="F58" i="26"/>
  <c r="G58" i="26" s="1"/>
  <c r="I56" i="13"/>
  <c r="B59" i="27"/>
  <c r="F59" i="27"/>
  <c r="H59" i="27" s="1"/>
  <c r="H61" i="19"/>
  <c r="I61" i="19" s="1"/>
  <c r="H58" i="22"/>
  <c r="I58" i="22" s="1"/>
  <c r="B55" i="34"/>
  <c r="F55" i="34"/>
  <c r="H55" i="34" s="1"/>
  <c r="E57" i="25"/>
  <c r="F57" i="25" s="1"/>
  <c r="B57" i="13"/>
  <c r="F57" i="13"/>
  <c r="F138" i="35"/>
  <c r="B138" i="35"/>
  <c r="H136" i="37"/>
  <c r="I136" i="37"/>
  <c r="I137" i="35"/>
  <c r="H137" i="35"/>
  <c r="B137" i="37"/>
  <c r="E137" i="37"/>
  <c r="F137" i="37" s="1"/>
  <c r="B145" i="4"/>
  <c r="E145" i="4"/>
  <c r="F145" i="4" s="1"/>
  <c r="H144" i="4"/>
  <c r="I144" i="4"/>
  <c r="H141" i="28"/>
  <c r="I141" i="28"/>
  <c r="E142" i="28"/>
  <c r="F142" i="28" s="1"/>
  <c r="B142" i="28"/>
  <c r="F138" i="31"/>
  <c r="B138" i="31"/>
  <c r="I137" i="31"/>
  <c r="H137" i="31"/>
  <c r="D141" i="25"/>
  <c r="G140" i="25"/>
  <c r="J140" i="21"/>
  <c r="D138" i="34"/>
  <c r="E138" i="34" s="1"/>
  <c r="G137" i="34"/>
  <c r="G141" i="24"/>
  <c r="D142" i="24"/>
  <c r="E142" i="24" s="1"/>
  <c r="H143" i="19"/>
  <c r="I143" i="19"/>
  <c r="B144" i="19"/>
  <c r="F144" i="19"/>
  <c r="D142" i="21"/>
  <c r="G141" i="21"/>
  <c r="D142" i="27"/>
  <c r="E142" i="27" s="1"/>
  <c r="G141" i="27"/>
  <c r="D138" i="38"/>
  <c r="E138" i="38" s="1"/>
  <c r="G137" i="38"/>
  <c r="J140" i="27"/>
  <c r="F143" i="29"/>
  <c r="J140" i="24"/>
  <c r="G138" i="13"/>
  <c r="D139" i="13"/>
  <c r="I142" i="29"/>
  <c r="H142" i="29"/>
  <c r="H144" i="3"/>
  <c r="I144" i="3"/>
  <c r="H145" i="23"/>
  <c r="I145" i="23"/>
  <c r="H137" i="20"/>
  <c r="I137" i="20"/>
  <c r="F138" i="20"/>
  <c r="B138" i="20"/>
  <c r="I140" i="22"/>
  <c r="H140" i="22"/>
  <c r="F146" i="23"/>
  <c r="B145" i="3"/>
  <c r="F145" i="3"/>
  <c r="B141" i="22"/>
  <c r="F141" i="22"/>
  <c r="I60" i="24" l="1"/>
  <c r="G61" i="24"/>
  <c r="D62" i="24"/>
  <c r="H61" i="24"/>
  <c r="J143" i="18"/>
  <c r="J140" i="26"/>
  <c r="J137" i="20"/>
  <c r="D142" i="26"/>
  <c r="G141" i="26"/>
  <c r="I62" i="4"/>
  <c r="G55" i="34"/>
  <c r="I55" i="34" s="1"/>
  <c r="H53" i="38"/>
  <c r="I53" i="38" s="1"/>
  <c r="J143" i="19"/>
  <c r="G144" i="18"/>
  <c r="D145" i="18"/>
  <c r="G59" i="27"/>
  <c r="I59" i="27" s="1"/>
  <c r="H59" i="28"/>
  <c r="I59" i="28" s="1"/>
  <c r="J144" i="4"/>
  <c r="D58" i="25"/>
  <c r="E58" i="25" s="1"/>
  <c r="G57" i="25"/>
  <c r="H57" i="25"/>
  <c r="D56" i="31"/>
  <c r="E56" i="31" s="1"/>
  <c r="D57" i="29"/>
  <c r="E57" i="29" s="1"/>
  <c r="D60" i="23"/>
  <c r="E60" i="23" s="1"/>
  <c r="F63" i="4"/>
  <c r="H63" i="4" s="1"/>
  <c r="B63" i="4"/>
  <c r="D56" i="35"/>
  <c r="E56" i="35" s="1"/>
  <c r="D58" i="13"/>
  <c r="E58" i="13" s="1"/>
  <c r="D59" i="26"/>
  <c r="E59" i="26" s="1"/>
  <c r="F60" i="21"/>
  <c r="G60" i="21" s="1"/>
  <c r="B60" i="21"/>
  <c r="B62" i="19"/>
  <c r="F62" i="19"/>
  <c r="H62" i="19" s="1"/>
  <c r="B64" i="3"/>
  <c r="F64" i="3"/>
  <c r="H64" i="3" s="1"/>
  <c r="G55" i="35"/>
  <c r="I55" i="35" s="1"/>
  <c r="G57" i="13"/>
  <c r="H58" i="26"/>
  <c r="I58" i="26" s="1"/>
  <c r="H57" i="13"/>
  <c r="F59" i="22"/>
  <c r="G59" i="22" s="1"/>
  <c r="B59" i="22"/>
  <c r="D55" i="37"/>
  <c r="E55" i="37" s="1"/>
  <c r="D54" i="38"/>
  <c r="E54" i="38" s="1"/>
  <c r="I61" i="18"/>
  <c r="H55" i="31"/>
  <c r="H56" i="29"/>
  <c r="G59" i="23"/>
  <c r="J144" i="3"/>
  <c r="D56" i="34"/>
  <c r="E56" i="34" s="1"/>
  <c r="D60" i="27"/>
  <c r="E60" i="27" s="1"/>
  <c r="G55" i="31"/>
  <c r="G56" i="29"/>
  <c r="G54" i="37"/>
  <c r="I54" i="37" s="1"/>
  <c r="H59" i="23"/>
  <c r="D60" i="28"/>
  <c r="E60" i="28" s="1"/>
  <c r="F62" i="18"/>
  <c r="H62" i="18" s="1"/>
  <c r="B62" i="18"/>
  <c r="G137" i="37"/>
  <c r="D138" i="37"/>
  <c r="B138" i="37" s="1"/>
  <c r="J145" i="23"/>
  <c r="J141" i="28"/>
  <c r="J137" i="31"/>
  <c r="D139" i="35"/>
  <c r="G138" i="35"/>
  <c r="G145" i="4"/>
  <c r="D146" i="4"/>
  <c r="G138" i="31"/>
  <c r="D139" i="31"/>
  <c r="D143" i="28"/>
  <c r="G142" i="28"/>
  <c r="I140" i="25"/>
  <c r="H140" i="25"/>
  <c r="E141" i="25"/>
  <c r="F141" i="25" s="1"/>
  <c r="B141" i="25"/>
  <c r="D144" i="29"/>
  <c r="E144" i="29" s="1"/>
  <c r="G143" i="29"/>
  <c r="F138" i="38"/>
  <c r="B138" i="38"/>
  <c r="H137" i="38"/>
  <c r="I137" i="38"/>
  <c r="D145" i="19"/>
  <c r="E145" i="19" s="1"/>
  <c r="G144" i="19"/>
  <c r="B142" i="24"/>
  <c r="F142" i="24"/>
  <c r="B142" i="21"/>
  <c r="B139" i="13"/>
  <c r="H141" i="24"/>
  <c r="I141" i="24"/>
  <c r="E139" i="13"/>
  <c r="F139" i="13" s="1"/>
  <c r="H141" i="27"/>
  <c r="I141" i="27"/>
  <c r="E142" i="21"/>
  <c r="F142" i="21" s="1"/>
  <c r="H137" i="34"/>
  <c r="I137" i="34"/>
  <c r="I138" i="13"/>
  <c r="H138" i="13"/>
  <c r="B142" i="27"/>
  <c r="F142" i="27"/>
  <c r="H141" i="21"/>
  <c r="I141" i="21"/>
  <c r="B138" i="34"/>
  <c r="F138" i="34"/>
  <c r="D142" i="22"/>
  <c r="G141" i="22"/>
  <c r="G145" i="3"/>
  <c r="D146" i="3"/>
  <c r="E146" i="3" s="1"/>
  <c r="D139" i="20"/>
  <c r="E139" i="20" s="1"/>
  <c r="G138" i="20"/>
  <c r="G146" i="23"/>
  <c r="D147" i="23"/>
  <c r="J140" i="22"/>
  <c r="I61" i="24" l="1"/>
  <c r="E62" i="24"/>
  <c r="B62" i="24"/>
  <c r="F62" i="24"/>
  <c r="G62" i="24" s="1"/>
  <c r="H59" i="22"/>
  <c r="I59" i="22" s="1"/>
  <c r="I141" i="26"/>
  <c r="H141" i="26"/>
  <c r="E142" i="26"/>
  <c r="F142" i="26" s="1"/>
  <c r="B142" i="26"/>
  <c r="I59" i="23"/>
  <c r="J141" i="27"/>
  <c r="E145" i="18"/>
  <c r="F145" i="18" s="1"/>
  <c r="B145" i="18"/>
  <c r="I144" i="18"/>
  <c r="H144" i="18"/>
  <c r="G62" i="18"/>
  <c r="I62" i="18" s="1"/>
  <c r="G64" i="3"/>
  <c r="I64" i="3" s="1"/>
  <c r="G62" i="19"/>
  <c r="I62" i="19" s="1"/>
  <c r="I57" i="25"/>
  <c r="G63" i="4"/>
  <c r="I63" i="4" s="1"/>
  <c r="I55" i="31"/>
  <c r="B56" i="35"/>
  <c r="F56" i="35"/>
  <c r="G56" i="35" s="1"/>
  <c r="J141" i="21"/>
  <c r="D61" i="21"/>
  <c r="E61" i="21" s="1"/>
  <c r="F57" i="29"/>
  <c r="G57" i="29" s="1"/>
  <c r="D63" i="18"/>
  <c r="E63" i="18" s="1"/>
  <c r="B60" i="27"/>
  <c r="F60" i="27"/>
  <c r="G60" i="27" s="1"/>
  <c r="D60" i="22"/>
  <c r="E60" i="22" s="1"/>
  <c r="B59" i="26"/>
  <c r="F59" i="26"/>
  <c r="H59" i="26" s="1"/>
  <c r="B56" i="31"/>
  <c r="F56" i="31"/>
  <c r="F60" i="28"/>
  <c r="G60" i="28" s="1"/>
  <c r="B60" i="28"/>
  <c r="B56" i="34"/>
  <c r="F56" i="34"/>
  <c r="I57" i="13"/>
  <c r="D65" i="3"/>
  <c r="E65" i="3" s="1"/>
  <c r="D64" i="4"/>
  <c r="E64" i="4" s="1"/>
  <c r="B54" i="38"/>
  <c r="F54" i="38"/>
  <c r="H54" i="38" s="1"/>
  <c r="B58" i="13"/>
  <c r="F58" i="13"/>
  <c r="I56" i="29"/>
  <c r="B55" i="37"/>
  <c r="F55" i="37"/>
  <c r="H55" i="37" s="1"/>
  <c r="D63" i="19"/>
  <c r="E63" i="19" s="1"/>
  <c r="H60" i="21"/>
  <c r="I60" i="21" s="1"/>
  <c r="F60" i="23"/>
  <c r="H60" i="23" s="1"/>
  <c r="B60" i="23"/>
  <c r="B58" i="25"/>
  <c r="F58" i="25"/>
  <c r="H58" i="25" s="1"/>
  <c r="H138" i="35"/>
  <c r="I138" i="35"/>
  <c r="E139" i="35"/>
  <c r="F139" i="35" s="1"/>
  <c r="B139" i="35"/>
  <c r="E138" i="37"/>
  <c r="F138" i="37" s="1"/>
  <c r="E146" i="4"/>
  <c r="F146" i="4" s="1"/>
  <c r="B146" i="4"/>
  <c r="I145" i="4"/>
  <c r="H145" i="4"/>
  <c r="I137" i="37"/>
  <c r="H137" i="37"/>
  <c r="G141" i="25"/>
  <c r="D142" i="25"/>
  <c r="I142" i="28"/>
  <c r="H142" i="28"/>
  <c r="E143" i="28"/>
  <c r="F143" i="28" s="1"/>
  <c r="B143" i="28"/>
  <c r="E139" i="31"/>
  <c r="F139" i="31" s="1"/>
  <c r="B139" i="31"/>
  <c r="H138" i="31"/>
  <c r="I138" i="31"/>
  <c r="D140" i="13"/>
  <c r="E140" i="13" s="1"/>
  <c r="G139" i="13"/>
  <c r="G142" i="21"/>
  <c r="D143" i="21"/>
  <c r="E143" i="21" s="1"/>
  <c r="B145" i="19"/>
  <c r="F145" i="19"/>
  <c r="G142" i="27"/>
  <c r="D143" i="27"/>
  <c r="E143" i="27" s="1"/>
  <c r="G142" i="24"/>
  <c r="D143" i="24"/>
  <c r="E143" i="24" s="1"/>
  <c r="G138" i="38"/>
  <c r="D139" i="38"/>
  <c r="E139" i="38" s="1"/>
  <c r="D139" i="34"/>
  <c r="E139" i="34" s="1"/>
  <c r="G138" i="34"/>
  <c r="J141" i="24"/>
  <c r="H143" i="29"/>
  <c r="I143" i="29"/>
  <c r="F144" i="29"/>
  <c r="H144" i="19"/>
  <c r="I144" i="19"/>
  <c r="I145" i="3"/>
  <c r="H145" i="3"/>
  <c r="B146" i="3"/>
  <c r="F146" i="3"/>
  <c r="E147" i="23"/>
  <c r="F147" i="23" s="1"/>
  <c r="H141" i="22"/>
  <c r="I141" i="22"/>
  <c r="H146" i="23"/>
  <c r="I146" i="23"/>
  <c r="B142" i="22"/>
  <c r="F139" i="20"/>
  <c r="B139" i="20"/>
  <c r="I138" i="20"/>
  <c r="H138" i="20"/>
  <c r="E142" i="22"/>
  <c r="F142" i="22" s="1"/>
  <c r="H62" i="24" l="1"/>
  <c r="I62" i="24" s="1"/>
  <c r="D63" i="24"/>
  <c r="D143" i="26"/>
  <c r="G142" i="26"/>
  <c r="G59" i="26"/>
  <c r="I59" i="26" s="1"/>
  <c r="J141" i="26"/>
  <c r="J144" i="18"/>
  <c r="D146" i="18"/>
  <c r="G145" i="18"/>
  <c r="H56" i="35"/>
  <c r="I56" i="35" s="1"/>
  <c r="G55" i="37"/>
  <c r="I55" i="37" s="1"/>
  <c r="G58" i="25"/>
  <c r="I58" i="25" s="1"/>
  <c r="H60" i="28"/>
  <c r="I60" i="28" s="1"/>
  <c r="G60" i="23"/>
  <c r="I60" i="23" s="1"/>
  <c r="B65" i="3"/>
  <c r="F65" i="3"/>
  <c r="D61" i="27"/>
  <c r="E61" i="27" s="1"/>
  <c r="B61" i="21"/>
  <c r="F61" i="21"/>
  <c r="D55" i="38"/>
  <c r="E55" i="38" s="1"/>
  <c r="D61" i="28"/>
  <c r="E61" i="28" s="1"/>
  <c r="D60" i="26"/>
  <c r="E60" i="26" s="1"/>
  <c r="D61" i="23"/>
  <c r="E61" i="23" s="1"/>
  <c r="D57" i="34"/>
  <c r="E57" i="34" s="1"/>
  <c r="D57" i="31"/>
  <c r="E57" i="31" s="1"/>
  <c r="D59" i="13"/>
  <c r="E59" i="13" s="1"/>
  <c r="H56" i="31"/>
  <c r="B63" i="18"/>
  <c r="F63" i="18"/>
  <c r="H63" i="18" s="1"/>
  <c r="G54" i="38"/>
  <c r="I54" i="38" s="1"/>
  <c r="G56" i="34"/>
  <c r="B60" i="22"/>
  <c r="F60" i="22"/>
  <c r="G60" i="22" s="1"/>
  <c r="D57" i="35"/>
  <c r="E57" i="35" s="1"/>
  <c r="D59" i="25"/>
  <c r="E59" i="25" s="1"/>
  <c r="B63" i="19"/>
  <c r="F63" i="19"/>
  <c r="G63" i="19" s="1"/>
  <c r="G58" i="13"/>
  <c r="H56" i="34"/>
  <c r="G56" i="31"/>
  <c r="D58" i="29"/>
  <c r="E58" i="29" s="1"/>
  <c r="D56" i="37"/>
  <c r="E56" i="37" s="1"/>
  <c r="H58" i="13"/>
  <c r="F64" i="4"/>
  <c r="H64" i="4" s="1"/>
  <c r="B64" i="4"/>
  <c r="H60" i="27"/>
  <c r="I60" i="27" s="1"/>
  <c r="H57" i="29"/>
  <c r="I57" i="29" s="1"/>
  <c r="D140" i="35"/>
  <c r="G139" i="35"/>
  <c r="J138" i="31"/>
  <c r="D147" i="4"/>
  <c r="G146" i="4"/>
  <c r="G138" i="37"/>
  <c r="D139" i="37"/>
  <c r="E139" i="37" s="1"/>
  <c r="J145" i="4"/>
  <c r="G139" i="31"/>
  <c r="D140" i="31"/>
  <c r="D144" i="28"/>
  <c r="G143" i="28"/>
  <c r="J142" i="28"/>
  <c r="E142" i="25"/>
  <c r="F142" i="25" s="1"/>
  <c r="B142" i="25"/>
  <c r="J141" i="22"/>
  <c r="H141" i="25"/>
  <c r="I141" i="25"/>
  <c r="J146" i="23"/>
  <c r="J138" i="20"/>
  <c r="B139" i="38"/>
  <c r="F139" i="38"/>
  <c r="G144" i="29"/>
  <c r="D145" i="29"/>
  <c r="E145" i="29" s="1"/>
  <c r="F143" i="21"/>
  <c r="B143" i="21"/>
  <c r="H138" i="38"/>
  <c r="I138" i="38"/>
  <c r="F143" i="27"/>
  <c r="B143" i="27"/>
  <c r="I142" i="21"/>
  <c r="H142" i="21"/>
  <c r="H142" i="27"/>
  <c r="I142" i="27"/>
  <c r="H139" i="13"/>
  <c r="I139" i="13"/>
  <c r="H138" i="34"/>
  <c r="I138" i="34"/>
  <c r="B143" i="24"/>
  <c r="F143" i="24"/>
  <c r="G145" i="19"/>
  <c r="D146" i="19"/>
  <c r="J144" i="19"/>
  <c r="F139" i="34"/>
  <c r="B139" i="34"/>
  <c r="I142" i="24"/>
  <c r="H142" i="24"/>
  <c r="F140" i="13"/>
  <c r="B140" i="13"/>
  <c r="D148" i="23"/>
  <c r="E148" i="23" s="1"/>
  <c r="G147" i="23"/>
  <c r="D143" i="22"/>
  <c r="E143" i="22" s="1"/>
  <c r="G142" i="22"/>
  <c r="G146" i="3"/>
  <c r="D147" i="3"/>
  <c r="D140" i="20"/>
  <c r="E140" i="20" s="1"/>
  <c r="G139" i="20"/>
  <c r="J145" i="3"/>
  <c r="E63" i="24" l="1"/>
  <c r="F63" i="24" s="1"/>
  <c r="G63" i="24" s="1"/>
  <c r="B63" i="24"/>
  <c r="G64" i="4"/>
  <c r="I64" i="4" s="1"/>
  <c r="H142" i="26"/>
  <c r="I142" i="26"/>
  <c r="E143" i="26"/>
  <c r="F143" i="26" s="1"/>
  <c r="B143" i="26"/>
  <c r="J142" i="27"/>
  <c r="H145" i="18"/>
  <c r="I145" i="18"/>
  <c r="E146" i="18"/>
  <c r="F146" i="18" s="1"/>
  <c r="B146" i="18"/>
  <c r="H63" i="19"/>
  <c r="I63" i="19" s="1"/>
  <c r="H60" i="22"/>
  <c r="I60" i="22" s="1"/>
  <c r="I56" i="31"/>
  <c r="D66" i="3"/>
  <c r="E66" i="3" s="1"/>
  <c r="F58" i="29"/>
  <c r="G58" i="29" s="1"/>
  <c r="F61" i="23"/>
  <c r="B61" i="23"/>
  <c r="D62" i="21"/>
  <c r="E62" i="21" s="1"/>
  <c r="G65" i="3"/>
  <c r="F59" i="25"/>
  <c r="H59" i="25" s="1"/>
  <c r="B59" i="25"/>
  <c r="B59" i="13"/>
  <c r="F59" i="13"/>
  <c r="H59" i="13" s="1"/>
  <c r="H61" i="21"/>
  <c r="I56" i="34"/>
  <c r="B60" i="26"/>
  <c r="F60" i="26"/>
  <c r="H60" i="26" s="1"/>
  <c r="G61" i="21"/>
  <c r="D65" i="4"/>
  <c r="E65" i="4" s="1"/>
  <c r="B57" i="35"/>
  <c r="F57" i="35"/>
  <c r="F57" i="31"/>
  <c r="H57" i="31" s="1"/>
  <c r="B57" i="31"/>
  <c r="I58" i="13"/>
  <c r="D64" i="18"/>
  <c r="E64" i="18" s="1"/>
  <c r="F61" i="28"/>
  <c r="G61" i="28" s="1"/>
  <c r="B61" i="28"/>
  <c r="B57" i="34"/>
  <c r="F57" i="34"/>
  <c r="F61" i="27"/>
  <c r="B61" i="27"/>
  <c r="F56" i="37"/>
  <c r="G56" i="37" s="1"/>
  <c r="B56" i="37"/>
  <c r="D64" i="19"/>
  <c r="E64" i="19" s="1"/>
  <c r="D61" i="22"/>
  <c r="E61" i="22" s="1"/>
  <c r="G63" i="18"/>
  <c r="I63" i="18" s="1"/>
  <c r="F55" i="38"/>
  <c r="H55" i="38" s="1"/>
  <c r="B55" i="38"/>
  <c r="H65" i="3"/>
  <c r="B139" i="37"/>
  <c r="F139" i="37"/>
  <c r="I138" i="37"/>
  <c r="H138" i="37"/>
  <c r="I146" i="4"/>
  <c r="H146" i="4"/>
  <c r="B147" i="4"/>
  <c r="E147" i="4"/>
  <c r="F147" i="4" s="1"/>
  <c r="H139" i="35"/>
  <c r="I139" i="35"/>
  <c r="E140" i="35"/>
  <c r="F140" i="35" s="1"/>
  <c r="B140" i="35"/>
  <c r="G142" i="25"/>
  <c r="D143" i="25"/>
  <c r="H143" i="28"/>
  <c r="I143" i="28"/>
  <c r="B144" i="28"/>
  <c r="E144" i="28"/>
  <c r="F144" i="28" s="1"/>
  <c r="B140" i="31"/>
  <c r="I139" i="31"/>
  <c r="H139" i="31"/>
  <c r="E140" i="31"/>
  <c r="F140" i="31" s="1"/>
  <c r="B146" i="19"/>
  <c r="H145" i="19"/>
  <c r="I145" i="19"/>
  <c r="J142" i="21"/>
  <c r="D140" i="38"/>
  <c r="E140" i="38" s="1"/>
  <c r="G139" i="38"/>
  <c r="G143" i="24"/>
  <c r="D144" i="24"/>
  <c r="E144" i="24" s="1"/>
  <c r="F145" i="29"/>
  <c r="G143" i="27"/>
  <c r="D144" i="27"/>
  <c r="E144" i="27" s="1"/>
  <c r="I144" i="29"/>
  <c r="H144" i="29"/>
  <c r="J142" i="24"/>
  <c r="G143" i="21"/>
  <c r="D144" i="21"/>
  <c r="E144" i="21" s="1"/>
  <c r="D141" i="13"/>
  <c r="E141" i="13" s="1"/>
  <c r="G140" i="13"/>
  <c r="D140" i="34"/>
  <c r="G139" i="34"/>
  <c r="E146" i="19"/>
  <c r="F146" i="19" s="1"/>
  <c r="I142" i="22"/>
  <c r="H142" i="22"/>
  <c r="B147" i="3"/>
  <c r="H146" i="3"/>
  <c r="I146" i="3"/>
  <c r="H139" i="20"/>
  <c r="I139" i="20"/>
  <c r="B143" i="22"/>
  <c r="F143" i="22"/>
  <c r="I147" i="23"/>
  <c r="H147" i="23"/>
  <c r="E147" i="3"/>
  <c r="F147" i="3" s="1"/>
  <c r="B140" i="20"/>
  <c r="F140" i="20"/>
  <c r="F148" i="23"/>
  <c r="I65" i="3" l="1"/>
  <c r="H63" i="24"/>
  <c r="I63" i="24" s="1"/>
  <c r="D64" i="24"/>
  <c r="J142" i="26"/>
  <c r="D144" i="26"/>
  <c r="G143" i="26"/>
  <c r="J145" i="18"/>
  <c r="D147" i="18"/>
  <c r="G146" i="18"/>
  <c r="J146" i="3"/>
  <c r="G57" i="31"/>
  <c r="I57" i="31" s="1"/>
  <c r="H56" i="37"/>
  <c r="I56" i="37" s="1"/>
  <c r="H61" i="28"/>
  <c r="I61" i="28" s="1"/>
  <c r="G59" i="25"/>
  <c r="I59" i="25" s="1"/>
  <c r="H58" i="29"/>
  <c r="I58" i="29" s="1"/>
  <c r="I61" i="21"/>
  <c r="D62" i="27"/>
  <c r="E62" i="27" s="1"/>
  <c r="D58" i="35"/>
  <c r="E58" i="35" s="1"/>
  <c r="F64" i="19"/>
  <c r="H64" i="19" s="1"/>
  <c r="B64" i="19"/>
  <c r="G61" i="27"/>
  <c r="D62" i="23"/>
  <c r="J139" i="31"/>
  <c r="D56" i="38"/>
  <c r="E56" i="38" s="1"/>
  <c r="D58" i="34"/>
  <c r="E58" i="34" s="1"/>
  <c r="D60" i="25"/>
  <c r="E60" i="25" s="1"/>
  <c r="D62" i="28"/>
  <c r="B65" i="4"/>
  <c r="F65" i="4"/>
  <c r="G65" i="4" s="1"/>
  <c r="G55" i="38"/>
  <c r="I55" i="38" s="1"/>
  <c r="H57" i="34"/>
  <c r="D58" i="31"/>
  <c r="E58" i="31" s="1"/>
  <c r="D60" i="13"/>
  <c r="E60" i="13" s="1"/>
  <c r="D59" i="29"/>
  <c r="E59" i="29" s="1"/>
  <c r="D57" i="37"/>
  <c r="G57" i="34"/>
  <c r="F64" i="18"/>
  <c r="H64" i="18" s="1"/>
  <c r="B64" i="18"/>
  <c r="D61" i="26"/>
  <c r="E61" i="26" s="1"/>
  <c r="B62" i="21"/>
  <c r="F62" i="21"/>
  <c r="G62" i="21" s="1"/>
  <c r="H61" i="27"/>
  <c r="H57" i="35"/>
  <c r="G59" i="13"/>
  <c r="I59" i="13" s="1"/>
  <c r="H61" i="23"/>
  <c r="F66" i="3"/>
  <c r="G66" i="3" s="1"/>
  <c r="B66" i="3"/>
  <c r="B61" i="22"/>
  <c r="F61" i="22"/>
  <c r="H61" i="22" s="1"/>
  <c r="G57" i="35"/>
  <c r="G60" i="26"/>
  <c r="I60" i="26" s="1"/>
  <c r="G61" i="23"/>
  <c r="D148" i="4"/>
  <c r="G147" i="4"/>
  <c r="J146" i="4"/>
  <c r="D141" i="35"/>
  <c r="G140" i="35"/>
  <c r="D140" i="37"/>
  <c r="E140" i="37" s="1"/>
  <c r="G139" i="37"/>
  <c r="J143" i="28"/>
  <c r="D145" i="28"/>
  <c r="B145" i="28" s="1"/>
  <c r="G144" i="28"/>
  <c r="D141" i="31"/>
  <c r="G140" i="31"/>
  <c r="E143" i="25"/>
  <c r="F143" i="25" s="1"/>
  <c r="B143" i="25"/>
  <c r="J139" i="20"/>
  <c r="J145" i="19"/>
  <c r="H142" i="25"/>
  <c r="I142" i="25"/>
  <c r="G146" i="19"/>
  <c r="D147" i="19"/>
  <c r="B140" i="34"/>
  <c r="G145" i="29"/>
  <c r="D146" i="29"/>
  <c r="E146" i="29" s="1"/>
  <c r="B144" i="21"/>
  <c r="F144" i="21"/>
  <c r="I143" i="21"/>
  <c r="H143" i="21"/>
  <c r="F144" i="24"/>
  <c r="B144" i="24"/>
  <c r="H139" i="34"/>
  <c r="I139" i="34"/>
  <c r="I143" i="24"/>
  <c r="H143" i="24"/>
  <c r="I140" i="13"/>
  <c r="H140" i="13"/>
  <c r="F144" i="27"/>
  <c r="B144" i="27"/>
  <c r="F140" i="38"/>
  <c r="B140" i="38"/>
  <c r="E140" i="34"/>
  <c r="F140" i="34" s="1"/>
  <c r="B141" i="13"/>
  <c r="F141" i="13"/>
  <c r="I143" i="27"/>
  <c r="H143" i="27"/>
  <c r="H139" i="38"/>
  <c r="I139" i="38"/>
  <c r="G148" i="23"/>
  <c r="D149" i="23"/>
  <c r="J147" i="23"/>
  <c r="D144" i="22"/>
  <c r="E144" i="22" s="1"/>
  <c r="G143" i="22"/>
  <c r="D148" i="3"/>
  <c r="E148" i="3" s="1"/>
  <c r="G147" i="3"/>
  <c r="G140" i="20"/>
  <c r="D141" i="20"/>
  <c r="E141" i="20" s="1"/>
  <c r="J142" i="22"/>
  <c r="E64" i="24" l="1"/>
  <c r="F64" i="24" s="1"/>
  <c r="G64" i="24" s="1"/>
  <c r="B64" i="24"/>
  <c r="I143" i="26"/>
  <c r="H143" i="26"/>
  <c r="E144" i="26"/>
  <c r="F144" i="26" s="1"/>
  <c r="B144" i="26"/>
  <c r="E145" i="28"/>
  <c r="F145" i="28" s="1"/>
  <c r="D146" i="28" s="1"/>
  <c r="E146" i="28" s="1"/>
  <c r="F146" i="28" s="1"/>
  <c r="I146" i="18"/>
  <c r="H146" i="18"/>
  <c r="E147" i="18"/>
  <c r="F147" i="18" s="1"/>
  <c r="B147" i="18"/>
  <c r="H66" i="3"/>
  <c r="I66" i="3" s="1"/>
  <c r="G64" i="18"/>
  <c r="I64" i="18" s="1"/>
  <c r="H65" i="4"/>
  <c r="I65" i="4" s="1"/>
  <c r="I61" i="23"/>
  <c r="I57" i="35"/>
  <c r="I61" i="27"/>
  <c r="B57" i="37"/>
  <c r="B62" i="28"/>
  <c r="B56" i="38"/>
  <c r="F56" i="38"/>
  <c r="H56" i="38" s="1"/>
  <c r="D62" i="22"/>
  <c r="E62" i="22" s="1"/>
  <c r="B61" i="26"/>
  <c r="F61" i="26"/>
  <c r="F59" i="29"/>
  <c r="B62" i="23"/>
  <c r="D65" i="19"/>
  <c r="E65" i="19" s="1"/>
  <c r="G61" i="22"/>
  <c r="I61" i="22" s="1"/>
  <c r="F60" i="25"/>
  <c r="H60" i="25" s="1"/>
  <c r="B60" i="25"/>
  <c r="E62" i="23"/>
  <c r="F62" i="23" s="1"/>
  <c r="D65" i="18"/>
  <c r="E65" i="18" s="1"/>
  <c r="F60" i="13"/>
  <c r="G60" i="13" s="1"/>
  <c r="B60" i="13"/>
  <c r="D66" i="4"/>
  <c r="E66" i="4" s="1"/>
  <c r="D63" i="21"/>
  <c r="E63" i="21" s="1"/>
  <c r="F58" i="34"/>
  <c r="H58" i="34" s="1"/>
  <c r="B58" i="34"/>
  <c r="B58" i="35"/>
  <c r="F58" i="35"/>
  <c r="H58" i="35" s="1"/>
  <c r="D67" i="3"/>
  <c r="H62" i="21"/>
  <c r="I62" i="21" s="1"/>
  <c r="F58" i="31"/>
  <c r="H58" i="31" s="1"/>
  <c r="B58" i="31"/>
  <c r="E57" i="37"/>
  <c r="F57" i="37" s="1"/>
  <c r="I57" i="34"/>
  <c r="E62" i="28"/>
  <c r="F62" i="28" s="1"/>
  <c r="G64" i="19"/>
  <c r="I64" i="19" s="1"/>
  <c r="B62" i="27"/>
  <c r="F62" i="27"/>
  <c r="G62" i="27" s="1"/>
  <c r="F140" i="37"/>
  <c r="B140" i="37"/>
  <c r="I140" i="35"/>
  <c r="H140" i="35"/>
  <c r="B141" i="35"/>
  <c r="E141" i="35"/>
  <c r="F141" i="35" s="1"/>
  <c r="I147" i="4"/>
  <c r="H147" i="4"/>
  <c r="I139" i="37"/>
  <c r="H139" i="37"/>
  <c r="E148" i="4"/>
  <c r="F148" i="4" s="1"/>
  <c r="B148" i="4"/>
  <c r="G143" i="25"/>
  <c r="D144" i="25"/>
  <c r="B144" i="25" s="1"/>
  <c r="H140" i="31"/>
  <c r="I140" i="31"/>
  <c r="E141" i="31"/>
  <c r="F141" i="31" s="1"/>
  <c r="B141" i="31"/>
  <c r="I144" i="28"/>
  <c r="H144" i="28"/>
  <c r="D145" i="21"/>
  <c r="E145" i="21" s="1"/>
  <c r="G144" i="21"/>
  <c r="J143" i="24"/>
  <c r="G140" i="34"/>
  <c r="D141" i="34"/>
  <c r="E141" i="34" s="1"/>
  <c r="G144" i="24"/>
  <c r="D145" i="24"/>
  <c r="J143" i="21"/>
  <c r="D141" i="38"/>
  <c r="E141" i="38" s="1"/>
  <c r="G140" i="38"/>
  <c r="D145" i="27"/>
  <c r="E145" i="27" s="1"/>
  <c r="G144" i="27"/>
  <c r="F146" i="29"/>
  <c r="B147" i="19"/>
  <c r="J143" i="27"/>
  <c r="I145" i="29"/>
  <c r="H145" i="29"/>
  <c r="E147" i="19"/>
  <c r="F147" i="19" s="1"/>
  <c r="D142" i="13"/>
  <c r="E142" i="13" s="1"/>
  <c r="G141" i="13"/>
  <c r="H146" i="19"/>
  <c r="I146" i="19"/>
  <c r="F144" i="22"/>
  <c r="B144" i="22"/>
  <c r="H143" i="22"/>
  <c r="I143" i="22"/>
  <c r="I140" i="20"/>
  <c r="H140" i="20"/>
  <c r="I147" i="3"/>
  <c r="H147" i="3"/>
  <c r="H148" i="23"/>
  <c r="I148" i="23"/>
  <c r="E149" i="23"/>
  <c r="F149" i="23" s="1"/>
  <c r="B141" i="20"/>
  <c r="F141" i="20"/>
  <c r="B148" i="3"/>
  <c r="F148" i="3"/>
  <c r="B146" i="28" l="1"/>
  <c r="G145" i="28"/>
  <c r="I145" i="28" s="1"/>
  <c r="H64" i="24"/>
  <c r="I64" i="24" s="1"/>
  <c r="D65" i="24"/>
  <c r="D145" i="26"/>
  <c r="G144" i="26"/>
  <c r="J143" i="26"/>
  <c r="E144" i="25"/>
  <c r="F144" i="25" s="1"/>
  <c r="D145" i="25" s="1"/>
  <c r="E145" i="25" s="1"/>
  <c r="G147" i="18"/>
  <c r="D148" i="18"/>
  <c r="J144" i="28"/>
  <c r="J146" i="18"/>
  <c r="H62" i="27"/>
  <c r="I62" i="27" s="1"/>
  <c r="J147" i="4"/>
  <c r="G60" i="25"/>
  <c r="I60" i="25" s="1"/>
  <c r="D63" i="28"/>
  <c r="E63" i="28" s="1"/>
  <c r="G62" i="28"/>
  <c r="H62" i="28"/>
  <c r="D58" i="37"/>
  <c r="E58" i="37" s="1"/>
  <c r="H57" i="37"/>
  <c r="G57" i="37"/>
  <c r="B67" i="3"/>
  <c r="D59" i="34"/>
  <c r="E59" i="34" s="1"/>
  <c r="D63" i="23"/>
  <c r="E63" i="23" s="1"/>
  <c r="D60" i="29"/>
  <c r="B62" i="22"/>
  <c r="F62" i="22"/>
  <c r="H62" i="22" s="1"/>
  <c r="D63" i="27"/>
  <c r="E63" i="27" s="1"/>
  <c r="G58" i="35"/>
  <c r="I58" i="35" s="1"/>
  <c r="D61" i="13"/>
  <c r="E61" i="13" s="1"/>
  <c r="H59" i="29"/>
  <c r="G59" i="29"/>
  <c r="D59" i="31"/>
  <c r="E59" i="31" s="1"/>
  <c r="D59" i="35"/>
  <c r="B63" i="21"/>
  <c r="F63" i="21"/>
  <c r="F65" i="18"/>
  <c r="G65" i="18" s="1"/>
  <c r="B65" i="18"/>
  <c r="F65" i="19"/>
  <c r="G65" i="19" s="1"/>
  <c r="B65" i="19"/>
  <c r="D62" i="26"/>
  <c r="E62" i="26" s="1"/>
  <c r="D57" i="38"/>
  <c r="J140" i="31"/>
  <c r="G58" i="31"/>
  <c r="I58" i="31" s="1"/>
  <c r="G62" i="23"/>
  <c r="G58" i="34"/>
  <c r="I58" i="34" s="1"/>
  <c r="F66" i="4"/>
  <c r="H66" i="4" s="1"/>
  <c r="B66" i="4"/>
  <c r="H62" i="23"/>
  <c r="H61" i="26"/>
  <c r="G56" i="38"/>
  <c r="I56" i="38" s="1"/>
  <c r="E67" i="3"/>
  <c r="F67" i="3" s="1"/>
  <c r="H60" i="13"/>
  <c r="I60" i="13" s="1"/>
  <c r="D61" i="25"/>
  <c r="E61" i="25" s="1"/>
  <c r="G61" i="26"/>
  <c r="G141" i="35"/>
  <c r="D142" i="35"/>
  <c r="B142" i="35" s="1"/>
  <c r="G148" i="4"/>
  <c r="D149" i="4"/>
  <c r="J146" i="19"/>
  <c r="D141" i="37"/>
  <c r="G140" i="37"/>
  <c r="D142" i="31"/>
  <c r="E142" i="31" s="1"/>
  <c r="G141" i="31"/>
  <c r="H143" i="25"/>
  <c r="I143" i="25"/>
  <c r="D148" i="19"/>
  <c r="G147" i="19"/>
  <c r="I144" i="24"/>
  <c r="H144" i="24"/>
  <c r="H141" i="13"/>
  <c r="I141" i="13"/>
  <c r="F142" i="13"/>
  <c r="B142" i="13"/>
  <c r="I144" i="27"/>
  <c r="H144" i="27"/>
  <c r="F141" i="34"/>
  <c r="B141" i="34"/>
  <c r="J140" i="20"/>
  <c r="B145" i="27"/>
  <c r="F145" i="27"/>
  <c r="D147" i="28"/>
  <c r="E147" i="28" s="1"/>
  <c r="G146" i="28"/>
  <c r="H140" i="34"/>
  <c r="I140" i="34"/>
  <c r="H144" i="21"/>
  <c r="I144" i="21"/>
  <c r="B145" i="24"/>
  <c r="J143" i="22"/>
  <c r="H140" i="38"/>
  <c r="I140" i="38"/>
  <c r="B145" i="21"/>
  <c r="F145" i="21"/>
  <c r="J148" i="23"/>
  <c r="G146" i="29"/>
  <c r="D147" i="29"/>
  <c r="E147" i="29" s="1"/>
  <c r="F141" i="38"/>
  <c r="B141" i="38"/>
  <c r="E145" i="24"/>
  <c r="F145" i="24" s="1"/>
  <c r="G149" i="23"/>
  <c r="D150" i="23"/>
  <c r="G144" i="22"/>
  <c r="D145" i="22"/>
  <c r="E145" i="22" s="1"/>
  <c r="J147" i="3"/>
  <c r="G148" i="3"/>
  <c r="D149" i="3"/>
  <c r="E149" i="3" s="1"/>
  <c r="D142" i="20"/>
  <c r="E142" i="20" s="1"/>
  <c r="G141" i="20"/>
  <c r="H145" i="28" l="1"/>
  <c r="J145" i="28" s="1"/>
  <c r="G144" i="25"/>
  <c r="I144" i="25" s="1"/>
  <c r="F145" i="25"/>
  <c r="D146" i="25" s="1"/>
  <c r="E65" i="24"/>
  <c r="F65" i="24" s="1"/>
  <c r="H65" i="24" s="1"/>
  <c r="B65" i="24"/>
  <c r="H144" i="25"/>
  <c r="B145" i="25"/>
  <c r="I144" i="26"/>
  <c r="H144" i="26"/>
  <c r="E145" i="26"/>
  <c r="F145" i="26" s="1"/>
  <c r="B145" i="26"/>
  <c r="I62" i="28"/>
  <c r="E148" i="18"/>
  <c r="F148" i="18" s="1"/>
  <c r="B148" i="18"/>
  <c r="I147" i="18"/>
  <c r="H147" i="18"/>
  <c r="I59" i="29"/>
  <c r="H65" i="19"/>
  <c r="I65" i="19" s="1"/>
  <c r="I57" i="37"/>
  <c r="I61" i="26"/>
  <c r="D68" i="3"/>
  <c r="E68" i="3" s="1"/>
  <c r="G67" i="3"/>
  <c r="H67" i="3"/>
  <c r="G66" i="4"/>
  <c r="I66" i="4" s="1"/>
  <c r="B57" i="38"/>
  <c r="H65" i="18"/>
  <c r="I65" i="18" s="1"/>
  <c r="B59" i="35"/>
  <c r="F61" i="25"/>
  <c r="H61" i="25" s="1"/>
  <c r="B61" i="25"/>
  <c r="D67" i="4"/>
  <c r="E67" i="4" s="1"/>
  <c r="B62" i="26"/>
  <c r="F62" i="26"/>
  <c r="D66" i="18"/>
  <c r="E66" i="18" s="1"/>
  <c r="F59" i="31"/>
  <c r="G59" i="31" s="1"/>
  <c r="B59" i="31"/>
  <c r="B63" i="27"/>
  <c r="F63" i="27"/>
  <c r="G63" i="27" s="1"/>
  <c r="F58" i="37"/>
  <c r="H58" i="37" s="1"/>
  <c r="B58" i="37"/>
  <c r="D64" i="21"/>
  <c r="E64" i="21" s="1"/>
  <c r="B63" i="23"/>
  <c r="F63" i="23"/>
  <c r="H63" i="23" s="1"/>
  <c r="E142" i="35"/>
  <c r="F142" i="35" s="1"/>
  <c r="G63" i="21"/>
  <c r="D63" i="22"/>
  <c r="E63" i="22" s="1"/>
  <c r="H63" i="21"/>
  <c r="B59" i="34"/>
  <c r="F59" i="34"/>
  <c r="H59" i="34" s="1"/>
  <c r="I62" i="23"/>
  <c r="D66" i="19"/>
  <c r="E66" i="19" s="1"/>
  <c r="G62" i="22"/>
  <c r="I62" i="22" s="1"/>
  <c r="F63" i="28"/>
  <c r="H63" i="28" s="1"/>
  <c r="B63" i="28"/>
  <c r="E57" i="38"/>
  <c r="F57" i="38" s="1"/>
  <c r="E59" i="35"/>
  <c r="F59" i="35" s="1"/>
  <c r="F61" i="13"/>
  <c r="H61" i="13" s="1"/>
  <c r="B61" i="13"/>
  <c r="E60" i="29"/>
  <c r="F60" i="29" s="1"/>
  <c r="E141" i="37"/>
  <c r="F141" i="37" s="1"/>
  <c r="B141" i="37"/>
  <c r="H140" i="37"/>
  <c r="I140" i="37"/>
  <c r="E149" i="4"/>
  <c r="F149" i="4" s="1"/>
  <c r="B149" i="4"/>
  <c r="H148" i="4"/>
  <c r="I148" i="4"/>
  <c r="H141" i="35"/>
  <c r="I141" i="35"/>
  <c r="J144" i="21"/>
  <c r="H141" i="31"/>
  <c r="I141" i="31"/>
  <c r="B142" i="31"/>
  <c r="F142" i="31"/>
  <c r="G145" i="24"/>
  <c r="D146" i="24"/>
  <c r="E146" i="24" s="1"/>
  <c r="D143" i="13"/>
  <c r="E143" i="13" s="1"/>
  <c r="G142" i="13"/>
  <c r="J144" i="24"/>
  <c r="H146" i="28"/>
  <c r="I146" i="28"/>
  <c r="I147" i="19"/>
  <c r="H147" i="19"/>
  <c r="B148" i="19"/>
  <c r="F147" i="28"/>
  <c r="B147" i="28"/>
  <c r="G141" i="34"/>
  <c r="D142" i="34"/>
  <c r="E142" i="34" s="1"/>
  <c r="E148" i="19"/>
  <c r="F148" i="19" s="1"/>
  <c r="H146" i="29"/>
  <c r="I146" i="29"/>
  <c r="G141" i="38"/>
  <c r="D142" i="38"/>
  <c r="E142" i="38" s="1"/>
  <c r="D146" i="27"/>
  <c r="E146" i="27" s="1"/>
  <c r="G145" i="27"/>
  <c r="J144" i="27"/>
  <c r="G145" i="25"/>
  <c r="F147" i="29"/>
  <c r="G145" i="21"/>
  <c r="D146" i="21"/>
  <c r="E146" i="21" s="1"/>
  <c r="B149" i="3"/>
  <c r="F149" i="3"/>
  <c r="H148" i="3"/>
  <c r="I148" i="3"/>
  <c r="E150" i="23"/>
  <c r="F150" i="23" s="1"/>
  <c r="H144" i="22"/>
  <c r="I144" i="22"/>
  <c r="I141" i="20"/>
  <c r="H141" i="20"/>
  <c r="F142" i="20"/>
  <c r="B142" i="20"/>
  <c r="B145" i="22"/>
  <c r="F145" i="22"/>
  <c r="I149" i="23"/>
  <c r="H149" i="23"/>
  <c r="G65" i="24" l="1"/>
  <c r="I65" i="24" s="1"/>
  <c r="D66" i="24"/>
  <c r="J147" i="18"/>
  <c r="G145" i="26"/>
  <c r="D146" i="26"/>
  <c r="J148" i="4"/>
  <c r="J144" i="26"/>
  <c r="I67" i="3"/>
  <c r="J146" i="28"/>
  <c r="D149" i="18"/>
  <c r="G148" i="18"/>
  <c r="G63" i="28"/>
  <c r="I63" i="28" s="1"/>
  <c r="G63" i="23"/>
  <c r="I63" i="23" s="1"/>
  <c r="I63" i="21"/>
  <c r="G59" i="34"/>
  <c r="I59" i="34" s="1"/>
  <c r="D61" i="29"/>
  <c r="E61" i="29" s="1"/>
  <c r="H60" i="29"/>
  <c r="G60" i="29"/>
  <c r="D60" i="35"/>
  <c r="E60" i="35" s="1"/>
  <c r="H59" i="35"/>
  <c r="G59" i="35"/>
  <c r="D58" i="38"/>
  <c r="E58" i="38" s="1"/>
  <c r="G57" i="38"/>
  <c r="H57" i="38"/>
  <c r="D59" i="37"/>
  <c r="E59" i="37" s="1"/>
  <c r="D60" i="31"/>
  <c r="D62" i="13"/>
  <c r="E62" i="13" s="1"/>
  <c r="F67" i="4"/>
  <c r="G67" i="4" s="1"/>
  <c r="B67" i="4"/>
  <c r="B66" i="19"/>
  <c r="F66" i="19"/>
  <c r="H66" i="19" s="1"/>
  <c r="D64" i="27"/>
  <c r="E64" i="27" s="1"/>
  <c r="B66" i="18"/>
  <c r="F66" i="18"/>
  <c r="D62" i="25"/>
  <c r="E62" i="25" s="1"/>
  <c r="B63" i="22"/>
  <c r="F63" i="22"/>
  <c r="H63" i="27"/>
  <c r="I63" i="27" s="1"/>
  <c r="D63" i="26"/>
  <c r="E63" i="26" s="1"/>
  <c r="F64" i="21"/>
  <c r="G64" i="21" s="1"/>
  <c r="B64" i="21"/>
  <c r="H62" i="26"/>
  <c r="G61" i="25"/>
  <c r="I61" i="25" s="1"/>
  <c r="D60" i="34"/>
  <c r="E60" i="34" s="1"/>
  <c r="D143" i="35"/>
  <c r="G142" i="35"/>
  <c r="G62" i="26"/>
  <c r="G61" i="13"/>
  <c r="I61" i="13" s="1"/>
  <c r="D64" i="28"/>
  <c r="E64" i="28" s="1"/>
  <c r="D64" i="23"/>
  <c r="E64" i="23" s="1"/>
  <c r="G58" i="37"/>
  <c r="I58" i="37" s="1"/>
  <c r="H59" i="31"/>
  <c r="I59" i="31" s="1"/>
  <c r="B68" i="3"/>
  <c r="F68" i="3"/>
  <c r="H68" i="3" s="1"/>
  <c r="J141" i="31"/>
  <c r="D142" i="37"/>
  <c r="G141" i="37"/>
  <c r="G149" i="4"/>
  <c r="D150" i="4"/>
  <c r="D143" i="31"/>
  <c r="G142" i="31"/>
  <c r="J147" i="19"/>
  <c r="J148" i="3"/>
  <c r="D149" i="19"/>
  <c r="G148" i="19"/>
  <c r="B142" i="38"/>
  <c r="F142" i="38"/>
  <c r="B146" i="21"/>
  <c r="F146" i="21"/>
  <c r="H141" i="38"/>
  <c r="I141" i="38"/>
  <c r="G147" i="28"/>
  <c r="D148" i="28"/>
  <c r="E148" i="28" s="1"/>
  <c r="H142" i="13"/>
  <c r="I142" i="13"/>
  <c r="I145" i="21"/>
  <c r="H145" i="21"/>
  <c r="G147" i="29"/>
  <c r="D148" i="29"/>
  <c r="E148" i="29" s="1"/>
  <c r="B143" i="13"/>
  <c r="F143" i="13"/>
  <c r="I141" i="34"/>
  <c r="H141" i="34"/>
  <c r="B146" i="25"/>
  <c r="I145" i="25"/>
  <c r="H145" i="25"/>
  <c r="H145" i="27"/>
  <c r="I145" i="27"/>
  <c r="B146" i="24"/>
  <c r="F146" i="24"/>
  <c r="J149" i="23"/>
  <c r="J144" i="22"/>
  <c r="E146" i="25"/>
  <c r="F146" i="25" s="1"/>
  <c r="F146" i="27"/>
  <c r="B146" i="27"/>
  <c r="B142" i="34"/>
  <c r="F142" i="34"/>
  <c r="H145" i="24"/>
  <c r="I145" i="24"/>
  <c r="G149" i="3"/>
  <c r="D150" i="3"/>
  <c r="E150" i="3" s="1"/>
  <c r="D151" i="23"/>
  <c r="E151" i="23" s="1"/>
  <c r="G150" i="23"/>
  <c r="J141" i="20"/>
  <c r="G145" i="22"/>
  <c r="D146" i="22"/>
  <c r="E146" i="22" s="1"/>
  <c r="D143" i="20"/>
  <c r="E143" i="20" s="1"/>
  <c r="G142" i="20"/>
  <c r="E66" i="24" l="1"/>
  <c r="F66" i="24" s="1"/>
  <c r="H66" i="24" s="1"/>
  <c r="B66" i="24"/>
  <c r="I57" i="38"/>
  <c r="E146" i="26"/>
  <c r="F146" i="26" s="1"/>
  <c r="B146" i="26"/>
  <c r="H145" i="26"/>
  <c r="I145" i="26"/>
  <c r="I148" i="18"/>
  <c r="H148" i="18"/>
  <c r="B149" i="18"/>
  <c r="E149" i="18"/>
  <c r="F149" i="18" s="1"/>
  <c r="H67" i="4"/>
  <c r="I67" i="4" s="1"/>
  <c r="G66" i="19"/>
  <c r="I66" i="19" s="1"/>
  <c r="I62" i="26"/>
  <c r="I59" i="35"/>
  <c r="B60" i="31"/>
  <c r="B64" i="23"/>
  <c r="F64" i="23"/>
  <c r="F60" i="34"/>
  <c r="B60" i="34"/>
  <c r="B62" i="25"/>
  <c r="F62" i="25"/>
  <c r="B63" i="26"/>
  <c r="F63" i="26"/>
  <c r="G63" i="26" s="1"/>
  <c r="D67" i="18"/>
  <c r="E67" i="18" s="1"/>
  <c r="B59" i="37"/>
  <c r="F59" i="37"/>
  <c r="H59" i="37" s="1"/>
  <c r="F60" i="35"/>
  <c r="B60" i="35"/>
  <c r="D69" i="3"/>
  <c r="E69" i="3" s="1"/>
  <c r="F64" i="28"/>
  <c r="G64" i="28" s="1"/>
  <c r="B64" i="28"/>
  <c r="G66" i="18"/>
  <c r="D68" i="4"/>
  <c r="E68" i="4" s="1"/>
  <c r="D64" i="22"/>
  <c r="E64" i="22" s="1"/>
  <c r="I60" i="29"/>
  <c r="G68" i="3"/>
  <c r="I68" i="3" s="1"/>
  <c r="G63" i="22"/>
  <c r="H66" i="18"/>
  <c r="D67" i="19"/>
  <c r="E67" i="19" s="1"/>
  <c r="H142" i="35"/>
  <c r="I142" i="35"/>
  <c r="D65" i="21"/>
  <c r="E65" i="21" s="1"/>
  <c r="B62" i="13"/>
  <c r="F62" i="13"/>
  <c r="B58" i="38"/>
  <c r="F58" i="38"/>
  <c r="H58" i="38" s="1"/>
  <c r="F61" i="29"/>
  <c r="G61" i="29" s="1"/>
  <c r="E143" i="35"/>
  <c r="F143" i="35" s="1"/>
  <c r="B143" i="35"/>
  <c r="H64" i="21"/>
  <c r="I64" i="21" s="1"/>
  <c r="H63" i="22"/>
  <c r="B64" i="27"/>
  <c r="F64" i="27"/>
  <c r="H64" i="27" s="1"/>
  <c r="E60" i="31"/>
  <c r="F60" i="31" s="1"/>
  <c r="E150" i="4"/>
  <c r="F150" i="4" s="1"/>
  <c r="B150" i="4"/>
  <c r="I149" i="4"/>
  <c r="H149" i="4"/>
  <c r="H141" i="37"/>
  <c r="I141" i="37"/>
  <c r="E142" i="37"/>
  <c r="F142" i="37" s="1"/>
  <c r="B142" i="37"/>
  <c r="H142" i="31"/>
  <c r="I142" i="31"/>
  <c r="E143" i="31"/>
  <c r="F143" i="31" s="1"/>
  <c r="B143" i="31"/>
  <c r="J145" i="24"/>
  <c r="G146" i="25"/>
  <c r="D147" i="25"/>
  <c r="D143" i="34"/>
  <c r="E143" i="34" s="1"/>
  <c r="G142" i="34"/>
  <c r="D144" i="13"/>
  <c r="G143" i="13"/>
  <c r="B149" i="19"/>
  <c r="D147" i="21"/>
  <c r="E147" i="21" s="1"/>
  <c r="G146" i="21"/>
  <c r="F148" i="29"/>
  <c r="D147" i="24"/>
  <c r="E147" i="24" s="1"/>
  <c r="G146" i="24"/>
  <c r="H147" i="29"/>
  <c r="I147" i="29"/>
  <c r="G146" i="27"/>
  <c r="D147" i="27"/>
  <c r="E147" i="27" s="1"/>
  <c r="I147" i="28"/>
  <c r="H147" i="28"/>
  <c r="E149" i="19"/>
  <c r="F149" i="19" s="1"/>
  <c r="F148" i="28"/>
  <c r="B148" i="28"/>
  <c r="D143" i="38"/>
  <c r="G142" i="38"/>
  <c r="J145" i="27"/>
  <c r="J145" i="21"/>
  <c r="H148" i="19"/>
  <c r="I148" i="19"/>
  <c r="H142" i="20"/>
  <c r="I142" i="20"/>
  <c r="B143" i="20"/>
  <c r="F143" i="20"/>
  <c r="F146" i="22"/>
  <c r="B146" i="22"/>
  <c r="H149" i="3"/>
  <c r="I149" i="3"/>
  <c r="B150" i="3"/>
  <c r="F150" i="3"/>
  <c r="F151" i="23"/>
  <c r="H145" i="22"/>
  <c r="I145" i="22"/>
  <c r="I150" i="23"/>
  <c r="H150" i="23"/>
  <c r="G66" i="24" l="1"/>
  <c r="I66" i="24" s="1"/>
  <c r="D67" i="24"/>
  <c r="J145" i="26"/>
  <c r="D147" i="26"/>
  <c r="G146" i="26"/>
  <c r="G149" i="18"/>
  <c r="D150" i="18"/>
  <c r="J148" i="18"/>
  <c r="I63" i="22"/>
  <c r="G59" i="37"/>
  <c r="I59" i="37" s="1"/>
  <c r="I66" i="18"/>
  <c r="H61" i="29"/>
  <c r="I61" i="29" s="1"/>
  <c r="D61" i="31"/>
  <c r="E61" i="31" s="1"/>
  <c r="H60" i="31"/>
  <c r="G60" i="31"/>
  <c r="J142" i="31"/>
  <c r="D61" i="35"/>
  <c r="E61" i="35" s="1"/>
  <c r="D64" i="26"/>
  <c r="E64" i="26" s="1"/>
  <c r="D63" i="25"/>
  <c r="E63" i="25" s="1"/>
  <c r="D65" i="23"/>
  <c r="E65" i="23" s="1"/>
  <c r="D59" i="38"/>
  <c r="E59" i="38" s="1"/>
  <c r="B65" i="21"/>
  <c r="F65" i="21"/>
  <c r="H65" i="21" s="1"/>
  <c r="G143" i="35"/>
  <c r="D144" i="35"/>
  <c r="D65" i="28"/>
  <c r="E65" i="28" s="1"/>
  <c r="H63" i="26"/>
  <c r="I63" i="26" s="1"/>
  <c r="G58" i="38"/>
  <c r="I58" i="38" s="1"/>
  <c r="B64" i="22"/>
  <c r="F64" i="22"/>
  <c r="D60" i="37"/>
  <c r="D61" i="34"/>
  <c r="E61" i="34" s="1"/>
  <c r="D63" i="13"/>
  <c r="B69" i="3"/>
  <c r="F69" i="3"/>
  <c r="G69" i="3" s="1"/>
  <c r="H60" i="34"/>
  <c r="D65" i="27"/>
  <c r="E65" i="27" s="1"/>
  <c r="H62" i="13"/>
  <c r="B67" i="19"/>
  <c r="F67" i="19"/>
  <c r="H67" i="19" s="1"/>
  <c r="B68" i="4"/>
  <c r="F68" i="4"/>
  <c r="H68" i="4" s="1"/>
  <c r="G60" i="34"/>
  <c r="G62" i="13"/>
  <c r="G60" i="35"/>
  <c r="G62" i="25"/>
  <c r="G64" i="23"/>
  <c r="G64" i="27"/>
  <c r="I64" i="27" s="1"/>
  <c r="D62" i="29"/>
  <c r="E62" i="29" s="1"/>
  <c r="H64" i="28"/>
  <c r="I64" i="28" s="1"/>
  <c r="H60" i="35"/>
  <c r="B67" i="18"/>
  <c r="F67" i="18"/>
  <c r="H62" i="25"/>
  <c r="H64" i="23"/>
  <c r="I64" i="23" s="1"/>
  <c r="G142" i="37"/>
  <c r="D143" i="37"/>
  <c r="J149" i="4"/>
  <c r="G150" i="4"/>
  <c r="D151" i="4"/>
  <c r="J149" i="3"/>
  <c r="J148" i="19"/>
  <c r="G143" i="31"/>
  <c r="D144" i="31"/>
  <c r="J147" i="28"/>
  <c r="G149" i="19"/>
  <c r="D150" i="19"/>
  <c r="B143" i="38"/>
  <c r="H143" i="13"/>
  <c r="I143" i="13"/>
  <c r="E143" i="38"/>
  <c r="F143" i="38" s="1"/>
  <c r="H146" i="21"/>
  <c r="I146" i="21"/>
  <c r="B144" i="13"/>
  <c r="J142" i="20"/>
  <c r="I146" i="24"/>
  <c r="H146" i="24"/>
  <c r="I142" i="34"/>
  <c r="H142" i="34"/>
  <c r="F147" i="24"/>
  <c r="B147" i="24"/>
  <c r="B143" i="34"/>
  <c r="F143" i="34"/>
  <c r="G148" i="28"/>
  <c r="D149" i="28"/>
  <c r="G148" i="29"/>
  <c r="D149" i="29"/>
  <c r="E149" i="29" s="1"/>
  <c r="B147" i="25"/>
  <c r="F147" i="27"/>
  <c r="B147" i="27"/>
  <c r="E147" i="25"/>
  <c r="F147" i="25" s="1"/>
  <c r="B147" i="21"/>
  <c r="F147" i="21"/>
  <c r="H142" i="38"/>
  <c r="I142" i="38"/>
  <c r="H146" i="27"/>
  <c r="I146" i="27"/>
  <c r="E144" i="13"/>
  <c r="F144" i="13" s="1"/>
  <c r="H146" i="25"/>
  <c r="I146" i="25"/>
  <c r="G146" i="22"/>
  <c r="D147" i="22"/>
  <c r="J150" i="23"/>
  <c r="G143" i="20"/>
  <c r="D144" i="20"/>
  <c r="E144" i="20" s="1"/>
  <c r="G151" i="23"/>
  <c r="D152" i="23"/>
  <c r="E152" i="23" s="1"/>
  <c r="D151" i="3"/>
  <c r="E151" i="3" s="1"/>
  <c r="G150" i="3"/>
  <c r="J145" i="22"/>
  <c r="I62" i="25" l="1"/>
  <c r="E67" i="24"/>
  <c r="F67" i="24" s="1"/>
  <c r="B67" i="24"/>
  <c r="H146" i="26"/>
  <c r="I146" i="26"/>
  <c r="E147" i="26"/>
  <c r="F147" i="26" s="1"/>
  <c r="B147" i="26"/>
  <c r="E150" i="18"/>
  <c r="F150" i="18" s="1"/>
  <c r="B150" i="18"/>
  <c r="H149" i="18"/>
  <c r="I149" i="18"/>
  <c r="I62" i="13"/>
  <c r="I60" i="35"/>
  <c r="H69" i="3"/>
  <c r="I69" i="3" s="1"/>
  <c r="I60" i="34"/>
  <c r="B60" i="37"/>
  <c r="F62" i="29"/>
  <c r="G62" i="29" s="1"/>
  <c r="D65" i="22"/>
  <c r="E65" i="22" s="1"/>
  <c r="B65" i="28"/>
  <c r="F65" i="28"/>
  <c r="B59" i="38"/>
  <c r="F59" i="38"/>
  <c r="H59" i="38" s="1"/>
  <c r="F61" i="35"/>
  <c r="G61" i="35" s="1"/>
  <c r="B61" i="35"/>
  <c r="D68" i="18"/>
  <c r="D69" i="4"/>
  <c r="E69" i="4" s="1"/>
  <c r="B63" i="13"/>
  <c r="E144" i="35"/>
  <c r="F144" i="35" s="1"/>
  <c r="B144" i="35"/>
  <c r="H67" i="18"/>
  <c r="G68" i="4"/>
  <c r="I68" i="4" s="1"/>
  <c r="E63" i="13"/>
  <c r="F63" i="13" s="1"/>
  <c r="H64" i="22"/>
  <c r="H143" i="35"/>
  <c r="I143" i="35"/>
  <c r="F65" i="23"/>
  <c r="G65" i="23" s="1"/>
  <c r="B65" i="23"/>
  <c r="F65" i="27"/>
  <c r="B65" i="27"/>
  <c r="G64" i="22"/>
  <c r="G67" i="18"/>
  <c r="D66" i="21"/>
  <c r="E66" i="21" s="1"/>
  <c r="B63" i="25"/>
  <c r="F63" i="25"/>
  <c r="H63" i="25" s="1"/>
  <c r="I60" i="31"/>
  <c r="D68" i="19"/>
  <c r="E68" i="19" s="1"/>
  <c r="F61" i="34"/>
  <c r="H61" i="34" s="1"/>
  <c r="B61" i="34"/>
  <c r="G67" i="19"/>
  <c r="I67" i="19" s="1"/>
  <c r="D70" i="3"/>
  <c r="E70" i="3" s="1"/>
  <c r="E60" i="37"/>
  <c r="F60" i="37" s="1"/>
  <c r="G65" i="21"/>
  <c r="I65" i="21" s="1"/>
  <c r="B64" i="26"/>
  <c r="F64" i="26"/>
  <c r="H64" i="26" s="1"/>
  <c r="B61" i="31"/>
  <c r="F61" i="31"/>
  <c r="H61" i="31" s="1"/>
  <c r="B151" i="4"/>
  <c r="E151" i="4"/>
  <c r="F151" i="4" s="1"/>
  <c r="I150" i="4"/>
  <c r="H150" i="4"/>
  <c r="B143" i="37"/>
  <c r="H142" i="37"/>
  <c r="I142" i="37"/>
  <c r="E143" i="37"/>
  <c r="F143" i="37" s="1"/>
  <c r="E144" i="31"/>
  <c r="F144" i="31" s="1"/>
  <c r="B144" i="31"/>
  <c r="I143" i="31"/>
  <c r="H143" i="31"/>
  <c r="J146" i="24"/>
  <c r="G147" i="25"/>
  <c r="D148" i="25"/>
  <c r="G143" i="38"/>
  <c r="D144" i="38"/>
  <c r="E144" i="38" s="1"/>
  <c r="D145" i="13"/>
  <c r="E145" i="13" s="1"/>
  <c r="G144" i="13"/>
  <c r="D148" i="21"/>
  <c r="E148" i="21" s="1"/>
  <c r="G147" i="21"/>
  <c r="G143" i="34"/>
  <c r="D144" i="34"/>
  <c r="F149" i="29"/>
  <c r="G147" i="24"/>
  <c r="D148" i="24"/>
  <c r="E148" i="24" s="1"/>
  <c r="D148" i="27"/>
  <c r="G147" i="27"/>
  <c r="H148" i="29"/>
  <c r="I148" i="29"/>
  <c r="B149" i="28"/>
  <c r="B150" i="19"/>
  <c r="J146" i="27"/>
  <c r="E149" i="28"/>
  <c r="F149" i="28" s="1"/>
  <c r="J146" i="21"/>
  <c r="E150" i="19"/>
  <c r="F150" i="19" s="1"/>
  <c r="H148" i="28"/>
  <c r="I148" i="28"/>
  <c r="I149" i="19"/>
  <c r="H149" i="19"/>
  <c r="H150" i="3"/>
  <c r="I150" i="3"/>
  <c r="B147" i="22"/>
  <c r="F152" i="23"/>
  <c r="H151" i="23"/>
  <c r="I151" i="23"/>
  <c r="F144" i="20"/>
  <c r="B144" i="20"/>
  <c r="I146" i="22"/>
  <c r="H146" i="22"/>
  <c r="F151" i="3"/>
  <c r="B151" i="3"/>
  <c r="I143" i="20"/>
  <c r="H143" i="20"/>
  <c r="E147" i="22"/>
  <c r="F147" i="22" s="1"/>
  <c r="D68" i="24" l="1"/>
  <c r="H67" i="24"/>
  <c r="G67" i="24"/>
  <c r="J146" i="26"/>
  <c r="G147" i="26"/>
  <c r="D148" i="26"/>
  <c r="G150" i="18"/>
  <c r="D151" i="18"/>
  <c r="J149" i="18"/>
  <c r="G61" i="31"/>
  <c r="I61" i="31" s="1"/>
  <c r="G64" i="26"/>
  <c r="I64" i="26" s="1"/>
  <c r="G61" i="34"/>
  <c r="I61" i="34" s="1"/>
  <c r="I64" i="22"/>
  <c r="H61" i="35"/>
  <c r="I61" i="35" s="1"/>
  <c r="G59" i="38"/>
  <c r="I59" i="38" s="1"/>
  <c r="D64" i="13"/>
  <c r="H63" i="13"/>
  <c r="G63" i="13"/>
  <c r="D145" i="35"/>
  <c r="G144" i="35"/>
  <c r="D61" i="37"/>
  <c r="E61" i="37" s="1"/>
  <c r="G60" i="37"/>
  <c r="H60" i="37"/>
  <c r="D66" i="27"/>
  <c r="E66" i="27" s="1"/>
  <c r="B68" i="18"/>
  <c r="F68" i="19"/>
  <c r="H68" i="19" s="1"/>
  <c r="B68" i="19"/>
  <c r="F66" i="21"/>
  <c r="H66" i="21" s="1"/>
  <c r="B66" i="21"/>
  <c r="G65" i="27"/>
  <c r="D66" i="28"/>
  <c r="E66" i="28" s="1"/>
  <c r="D63" i="29"/>
  <c r="E63" i="29" s="1"/>
  <c r="F70" i="3"/>
  <c r="G70" i="3" s="1"/>
  <c r="B70" i="3"/>
  <c r="H65" i="28"/>
  <c r="H62" i="29"/>
  <c r="I62" i="29" s="1"/>
  <c r="G65" i="28"/>
  <c r="D62" i="35"/>
  <c r="E62" i="35" s="1"/>
  <c r="D65" i="26"/>
  <c r="E65" i="26" s="1"/>
  <c r="D64" i="25"/>
  <c r="E64" i="25" s="1"/>
  <c r="I67" i="18"/>
  <c r="D66" i="23"/>
  <c r="E66" i="23" s="1"/>
  <c r="B69" i="4"/>
  <c r="F69" i="4"/>
  <c r="D60" i="38"/>
  <c r="E60" i="38" s="1"/>
  <c r="F65" i="22"/>
  <c r="G65" i="22" s="1"/>
  <c r="B65" i="22"/>
  <c r="D62" i="31"/>
  <c r="D62" i="34"/>
  <c r="E62" i="34" s="1"/>
  <c r="G63" i="25"/>
  <c r="I63" i="25" s="1"/>
  <c r="H65" i="27"/>
  <c r="H65" i="23"/>
  <c r="I65" i="23" s="1"/>
  <c r="E68" i="18"/>
  <c r="F68" i="18" s="1"/>
  <c r="G143" i="37"/>
  <c r="D144" i="37"/>
  <c r="B144" i="37" s="1"/>
  <c r="J150" i="4"/>
  <c r="D152" i="4"/>
  <c r="G151" i="4"/>
  <c r="J151" i="23"/>
  <c r="J143" i="31"/>
  <c r="G144" i="31"/>
  <c r="D145" i="31"/>
  <c r="E145" i="31" s="1"/>
  <c r="J148" i="28"/>
  <c r="G150" i="19"/>
  <c r="D151" i="19"/>
  <c r="B148" i="27"/>
  <c r="B144" i="34"/>
  <c r="D150" i="28"/>
  <c r="E150" i="28" s="1"/>
  <c r="G149" i="28"/>
  <c r="H143" i="34"/>
  <c r="I143" i="34"/>
  <c r="F145" i="13"/>
  <c r="B145" i="13"/>
  <c r="J150" i="3"/>
  <c r="I147" i="24"/>
  <c r="H147" i="24"/>
  <c r="B144" i="38"/>
  <c r="F144" i="38"/>
  <c r="B148" i="24"/>
  <c r="F148" i="24"/>
  <c r="J149" i="19"/>
  <c r="D150" i="29"/>
  <c r="E150" i="29" s="1"/>
  <c r="G149" i="29"/>
  <c r="H143" i="38"/>
  <c r="I143" i="38"/>
  <c r="H147" i="21"/>
  <c r="I147" i="21"/>
  <c r="B148" i="25"/>
  <c r="E148" i="27"/>
  <c r="F148" i="27" s="1"/>
  <c r="F148" i="21"/>
  <c r="B148" i="21"/>
  <c r="E148" i="25"/>
  <c r="F148" i="25" s="1"/>
  <c r="H147" i="27"/>
  <c r="I147" i="27"/>
  <c r="E144" i="34"/>
  <c r="F144" i="34" s="1"/>
  <c r="I144" i="13"/>
  <c r="H144" i="13"/>
  <c r="H147" i="25"/>
  <c r="I147" i="25"/>
  <c r="G151" i="3"/>
  <c r="D152" i="3"/>
  <c r="G152" i="23"/>
  <c r="D153" i="23"/>
  <c r="G144" i="20"/>
  <c r="D145" i="20"/>
  <c r="E145" i="20" s="1"/>
  <c r="J143" i="20"/>
  <c r="G147" i="22"/>
  <c r="D148" i="22"/>
  <c r="J146" i="22"/>
  <c r="I67" i="24" l="1"/>
  <c r="E68" i="24"/>
  <c r="F68" i="24" s="1"/>
  <c r="D69" i="24" s="1"/>
  <c r="B68" i="24"/>
  <c r="I60" i="37"/>
  <c r="E148" i="26"/>
  <c r="F148" i="26" s="1"/>
  <c r="B148" i="26"/>
  <c r="H147" i="26"/>
  <c r="I147" i="26"/>
  <c r="E151" i="18"/>
  <c r="F151" i="18" s="1"/>
  <c r="B151" i="18"/>
  <c r="I150" i="18"/>
  <c r="H150" i="18"/>
  <c r="I65" i="27"/>
  <c r="G66" i="21"/>
  <c r="I66" i="21" s="1"/>
  <c r="G68" i="19"/>
  <c r="I68" i="19" s="1"/>
  <c r="H65" i="22"/>
  <c r="I65" i="22" s="1"/>
  <c r="I65" i="28"/>
  <c r="D69" i="18"/>
  <c r="E69" i="18" s="1"/>
  <c r="H68" i="18"/>
  <c r="G68" i="18"/>
  <c r="B62" i="31"/>
  <c r="D70" i="4"/>
  <c r="E70" i="4" s="1"/>
  <c r="F61" i="37"/>
  <c r="B61" i="37"/>
  <c r="G69" i="4"/>
  <c r="F65" i="26"/>
  <c r="H65" i="26" s="1"/>
  <c r="B65" i="26"/>
  <c r="D71" i="3"/>
  <c r="E71" i="3" s="1"/>
  <c r="H144" i="35"/>
  <c r="I144" i="35"/>
  <c r="D67" i="21"/>
  <c r="E67" i="21" s="1"/>
  <c r="E145" i="35"/>
  <c r="F145" i="35" s="1"/>
  <c r="B145" i="35"/>
  <c r="D66" i="22"/>
  <c r="E66" i="22" s="1"/>
  <c r="B66" i="23"/>
  <c r="F66" i="23"/>
  <c r="G66" i="23" s="1"/>
  <c r="B62" i="35"/>
  <c r="F62" i="35"/>
  <c r="H62" i="35" s="1"/>
  <c r="F63" i="29"/>
  <c r="G63" i="29" s="1"/>
  <c r="B66" i="27"/>
  <c r="F66" i="27"/>
  <c r="I63" i="13"/>
  <c r="F62" i="34"/>
  <c r="B62" i="34"/>
  <c r="B60" i="38"/>
  <c r="F60" i="38"/>
  <c r="B66" i="28"/>
  <c r="F66" i="28"/>
  <c r="H66" i="28" s="1"/>
  <c r="B64" i="13"/>
  <c r="E62" i="31"/>
  <c r="F62" i="31" s="1"/>
  <c r="H69" i="4"/>
  <c r="F64" i="25"/>
  <c r="B64" i="25"/>
  <c r="H70" i="3"/>
  <c r="I70" i="3" s="1"/>
  <c r="D69" i="19"/>
  <c r="E69" i="19" s="1"/>
  <c r="E64" i="13"/>
  <c r="F64" i="13" s="1"/>
  <c r="B152" i="4"/>
  <c r="E152" i="4"/>
  <c r="F152" i="4" s="1"/>
  <c r="H151" i="4"/>
  <c r="I151" i="4"/>
  <c r="H143" i="37"/>
  <c r="I143" i="37"/>
  <c r="J147" i="21"/>
  <c r="E144" i="37"/>
  <c r="F144" i="37" s="1"/>
  <c r="B145" i="31"/>
  <c r="F145" i="31"/>
  <c r="H144" i="31"/>
  <c r="I144" i="31"/>
  <c r="G144" i="34"/>
  <c r="D145" i="34"/>
  <c r="E145" i="34" s="1"/>
  <c r="G148" i="27"/>
  <c r="D149" i="27"/>
  <c r="E149" i="27" s="1"/>
  <c r="H149" i="29"/>
  <c r="I149" i="29"/>
  <c r="D145" i="38"/>
  <c r="E145" i="38" s="1"/>
  <c r="G144" i="38"/>
  <c r="B151" i="19"/>
  <c r="D146" i="13"/>
  <c r="G145" i="13"/>
  <c r="F150" i="29"/>
  <c r="H149" i="28"/>
  <c r="I149" i="28"/>
  <c r="E151" i="19"/>
  <c r="F151" i="19" s="1"/>
  <c r="I150" i="19"/>
  <c r="H150" i="19"/>
  <c r="J147" i="24"/>
  <c r="B150" i="28"/>
  <c r="F150" i="28"/>
  <c r="G148" i="24"/>
  <c r="D149" i="24"/>
  <c r="E149" i="24" s="1"/>
  <c r="G148" i="25"/>
  <c r="D149" i="25"/>
  <c r="E149" i="25" s="1"/>
  <c r="J147" i="27"/>
  <c r="D149" i="21"/>
  <c r="E149" i="21" s="1"/>
  <c r="G148" i="21"/>
  <c r="H152" i="23"/>
  <c r="I152" i="23"/>
  <c r="H147" i="22"/>
  <c r="I147" i="22"/>
  <c r="B152" i="3"/>
  <c r="B148" i="22"/>
  <c r="H151" i="3"/>
  <c r="I151" i="3"/>
  <c r="E148" i="22"/>
  <c r="F148" i="22" s="1"/>
  <c r="B145" i="20"/>
  <c r="F145" i="20"/>
  <c r="I144" i="20"/>
  <c r="H144" i="20"/>
  <c r="E153" i="23"/>
  <c r="F153" i="23" s="1"/>
  <c r="E152" i="3"/>
  <c r="F152" i="3" s="1"/>
  <c r="H68" i="24" l="1"/>
  <c r="E69" i="24"/>
  <c r="F69" i="24" s="1"/>
  <c r="B69" i="24"/>
  <c r="G68" i="24"/>
  <c r="J147" i="26"/>
  <c r="G148" i="26"/>
  <c r="D149" i="26"/>
  <c r="G65" i="26"/>
  <c r="I65" i="26" s="1"/>
  <c r="J150" i="18"/>
  <c r="D152" i="18"/>
  <c r="G151" i="18"/>
  <c r="I69" i="4"/>
  <c r="H66" i="23"/>
  <c r="I66" i="23" s="1"/>
  <c r="J147" i="22"/>
  <c r="J152" i="23"/>
  <c r="H63" i="29"/>
  <c r="I63" i="29" s="1"/>
  <c r="G62" i="35"/>
  <c r="I62" i="35" s="1"/>
  <c r="D65" i="13"/>
  <c r="G64" i="13"/>
  <c r="H64" i="13"/>
  <c r="D63" i="31"/>
  <c r="E63" i="31" s="1"/>
  <c r="H62" i="31"/>
  <c r="G62" i="31"/>
  <c r="D67" i="27"/>
  <c r="E67" i="27" s="1"/>
  <c r="G145" i="35"/>
  <c r="D146" i="35"/>
  <c r="D65" i="25"/>
  <c r="E65" i="25" s="1"/>
  <c r="D62" i="37"/>
  <c r="G64" i="25"/>
  <c r="D67" i="28"/>
  <c r="E67" i="28" s="1"/>
  <c r="D63" i="34"/>
  <c r="E63" i="34" s="1"/>
  <c r="B71" i="3"/>
  <c r="F71" i="3"/>
  <c r="H71" i="3" s="1"/>
  <c r="H61" i="37"/>
  <c r="G62" i="34"/>
  <c r="G61" i="37"/>
  <c r="G66" i="28"/>
  <c r="I66" i="28" s="1"/>
  <c r="H62" i="34"/>
  <c r="D67" i="23"/>
  <c r="E67" i="23" s="1"/>
  <c r="B67" i="21"/>
  <c r="F67" i="21"/>
  <c r="G67" i="21" s="1"/>
  <c r="B69" i="19"/>
  <c r="F69" i="19"/>
  <c r="G69" i="19" s="1"/>
  <c r="D61" i="38"/>
  <c r="E61" i="38" s="1"/>
  <c r="D64" i="29"/>
  <c r="E64" i="29" s="1"/>
  <c r="I68" i="18"/>
  <c r="G60" i="38"/>
  <c r="G66" i="27"/>
  <c r="D63" i="35"/>
  <c r="E63" i="35" s="1"/>
  <c r="D66" i="26"/>
  <c r="E66" i="26" s="1"/>
  <c r="J151" i="3"/>
  <c r="J144" i="31"/>
  <c r="J151" i="4"/>
  <c r="H64" i="25"/>
  <c r="H60" i="38"/>
  <c r="H66" i="27"/>
  <c r="B66" i="22"/>
  <c r="F66" i="22"/>
  <c r="H66" i="22" s="1"/>
  <c r="B70" i="4"/>
  <c r="F70" i="4"/>
  <c r="G70" i="4" s="1"/>
  <c r="B69" i="18"/>
  <c r="F69" i="18"/>
  <c r="D145" i="37"/>
  <c r="G144" i="37"/>
  <c r="D153" i="4"/>
  <c r="G152" i="4"/>
  <c r="D146" i="31"/>
  <c r="G145" i="31"/>
  <c r="J150" i="19"/>
  <c r="D152" i="19"/>
  <c r="E152" i="19" s="1"/>
  <c r="G151" i="19"/>
  <c r="B149" i="24"/>
  <c r="F149" i="24"/>
  <c r="G150" i="29"/>
  <c r="D151" i="29"/>
  <c r="E151" i="29" s="1"/>
  <c r="B145" i="38"/>
  <c r="F145" i="38"/>
  <c r="I148" i="21"/>
  <c r="H148" i="21"/>
  <c r="H148" i="24"/>
  <c r="I148" i="24"/>
  <c r="H145" i="13"/>
  <c r="I145" i="13"/>
  <c r="B146" i="13"/>
  <c r="B149" i="27"/>
  <c r="F149" i="27"/>
  <c r="B149" i="21"/>
  <c r="F149" i="21"/>
  <c r="E146" i="13"/>
  <c r="F146" i="13" s="1"/>
  <c r="H148" i="27"/>
  <c r="I148" i="27"/>
  <c r="B149" i="25"/>
  <c r="F149" i="25"/>
  <c r="G150" i="28"/>
  <c r="D151" i="28"/>
  <c r="E151" i="28" s="1"/>
  <c r="B145" i="34"/>
  <c r="F145" i="34"/>
  <c r="H148" i="25"/>
  <c r="I148" i="25"/>
  <c r="J149" i="28"/>
  <c r="H144" i="38"/>
  <c r="I144" i="38"/>
  <c r="I144" i="34"/>
  <c r="H144" i="34"/>
  <c r="D149" i="22"/>
  <c r="G148" i="22"/>
  <c r="D154" i="23"/>
  <c r="G153" i="23"/>
  <c r="J144" i="20"/>
  <c r="G152" i="3"/>
  <c r="D153" i="3"/>
  <c r="E153" i="3" s="1"/>
  <c r="D146" i="20"/>
  <c r="E146" i="20" s="1"/>
  <c r="G145" i="20"/>
  <c r="I68" i="24" l="1"/>
  <c r="G69" i="24"/>
  <c r="H69" i="24"/>
  <c r="D70" i="24"/>
  <c r="E149" i="26"/>
  <c r="F149" i="26" s="1"/>
  <c r="B149" i="26"/>
  <c r="H148" i="26"/>
  <c r="I148" i="26"/>
  <c r="I151" i="18"/>
  <c r="H151" i="18"/>
  <c r="E152" i="18"/>
  <c r="F152" i="18" s="1"/>
  <c r="B152" i="18"/>
  <c r="H70" i="4"/>
  <c r="I70" i="4" s="1"/>
  <c r="I64" i="25"/>
  <c r="I60" i="38"/>
  <c r="I62" i="31"/>
  <c r="G71" i="3"/>
  <c r="I71" i="3" s="1"/>
  <c r="I64" i="13"/>
  <c r="B62" i="37"/>
  <c r="F63" i="35"/>
  <c r="B63" i="35"/>
  <c r="H67" i="21"/>
  <c r="I67" i="21" s="1"/>
  <c r="F64" i="29"/>
  <c r="G64" i="29" s="1"/>
  <c r="D70" i="18"/>
  <c r="E70" i="18" s="1"/>
  <c r="D68" i="21"/>
  <c r="E68" i="21" s="1"/>
  <c r="B63" i="34"/>
  <c r="F63" i="34"/>
  <c r="H63" i="34" s="1"/>
  <c r="F65" i="25"/>
  <c r="H65" i="25" s="1"/>
  <c r="B65" i="25"/>
  <c r="F63" i="31"/>
  <c r="H63" i="31" s="1"/>
  <c r="B63" i="31"/>
  <c r="G69" i="18"/>
  <c r="D67" i="22"/>
  <c r="E67" i="22" s="1"/>
  <c r="F61" i="38"/>
  <c r="G61" i="38" s="1"/>
  <c r="B61" i="38"/>
  <c r="I61" i="37"/>
  <c r="E146" i="35"/>
  <c r="F146" i="35" s="1"/>
  <c r="B146" i="35"/>
  <c r="G66" i="22"/>
  <c r="I66" i="22" s="1"/>
  <c r="D70" i="19"/>
  <c r="E70" i="19" s="1"/>
  <c r="B67" i="28"/>
  <c r="F67" i="28"/>
  <c r="H67" i="28" s="1"/>
  <c r="I145" i="35"/>
  <c r="H145" i="35"/>
  <c r="H69" i="18"/>
  <c r="B66" i="26"/>
  <c r="F66" i="26"/>
  <c r="H66" i="26" s="1"/>
  <c r="F67" i="23"/>
  <c r="H67" i="23" s="1"/>
  <c r="B67" i="23"/>
  <c r="D72" i="3"/>
  <c r="E72" i="3" s="1"/>
  <c r="B65" i="13"/>
  <c r="D71" i="4"/>
  <c r="E71" i="4" s="1"/>
  <c r="I66" i="27"/>
  <c r="H69" i="19"/>
  <c r="I69" i="19" s="1"/>
  <c r="I62" i="34"/>
  <c r="E62" i="37"/>
  <c r="F62" i="37" s="1"/>
  <c r="F67" i="27"/>
  <c r="H67" i="27" s="1"/>
  <c r="B67" i="27"/>
  <c r="E65" i="13"/>
  <c r="F65" i="13" s="1"/>
  <c r="H152" i="4"/>
  <c r="I152" i="4"/>
  <c r="B153" i="4"/>
  <c r="E153" i="4"/>
  <c r="F153" i="4" s="1"/>
  <c r="I144" i="37"/>
  <c r="H144" i="37"/>
  <c r="J148" i="24"/>
  <c r="E145" i="37"/>
  <c r="F145" i="37" s="1"/>
  <c r="B145" i="37"/>
  <c r="H145" i="31"/>
  <c r="I145" i="31"/>
  <c r="E146" i="31"/>
  <c r="F146" i="31" s="1"/>
  <c r="B146" i="31"/>
  <c r="G146" i="13"/>
  <c r="D147" i="13"/>
  <c r="E147" i="13" s="1"/>
  <c r="G149" i="25"/>
  <c r="D150" i="25"/>
  <c r="D150" i="21"/>
  <c r="G149" i="21"/>
  <c r="I151" i="19"/>
  <c r="H151" i="19"/>
  <c r="J148" i="27"/>
  <c r="D150" i="27"/>
  <c r="E150" i="27" s="1"/>
  <c r="G149" i="27"/>
  <c r="G145" i="38"/>
  <c r="D146" i="38"/>
  <c r="D150" i="24"/>
  <c r="E150" i="24" s="1"/>
  <c r="G149" i="24"/>
  <c r="G145" i="34"/>
  <c r="D146" i="34"/>
  <c r="E146" i="34" s="1"/>
  <c r="B152" i="19"/>
  <c r="F152" i="19"/>
  <c r="B151" i="28"/>
  <c r="F151" i="28"/>
  <c r="F151" i="29"/>
  <c r="I150" i="28"/>
  <c r="H150" i="28"/>
  <c r="J148" i="21"/>
  <c r="I150" i="29"/>
  <c r="H150" i="29"/>
  <c r="H152" i="3"/>
  <c r="I152" i="3"/>
  <c r="I148" i="22"/>
  <c r="H148" i="22"/>
  <c r="F153" i="3"/>
  <c r="B153" i="3"/>
  <c r="E154" i="23"/>
  <c r="F154" i="23" s="1"/>
  <c r="B149" i="22"/>
  <c r="I153" i="23"/>
  <c r="H153" i="23"/>
  <c r="I145" i="20"/>
  <c r="H145" i="20"/>
  <c r="F146" i="20"/>
  <c r="B146" i="20"/>
  <c r="E149" i="22"/>
  <c r="F149" i="22" s="1"/>
  <c r="I69" i="24" l="1"/>
  <c r="E70" i="24"/>
  <c r="F70" i="24" s="1"/>
  <c r="B70" i="24"/>
  <c r="D150" i="26"/>
  <c r="G149" i="26"/>
  <c r="J148" i="26"/>
  <c r="I69" i="18"/>
  <c r="J145" i="31"/>
  <c r="D153" i="18"/>
  <c r="G152" i="18"/>
  <c r="J151" i="18"/>
  <c r="H61" i="38"/>
  <c r="I61" i="38" s="1"/>
  <c r="G67" i="27"/>
  <c r="I67" i="27" s="1"/>
  <c r="G67" i="28"/>
  <c r="I67" i="28" s="1"/>
  <c r="G66" i="26"/>
  <c r="I66" i="26" s="1"/>
  <c r="G63" i="34"/>
  <c r="I63" i="34" s="1"/>
  <c r="G65" i="25"/>
  <c r="I65" i="25" s="1"/>
  <c r="D66" i="13"/>
  <c r="E66" i="13" s="1"/>
  <c r="H65" i="13"/>
  <c r="G65" i="13"/>
  <c r="D63" i="37"/>
  <c r="E63" i="37" s="1"/>
  <c r="H62" i="37"/>
  <c r="G62" i="37"/>
  <c r="B72" i="3"/>
  <c r="F72" i="3"/>
  <c r="H72" i="3" s="1"/>
  <c r="D62" i="38"/>
  <c r="E62" i="38" s="1"/>
  <c r="D64" i="31"/>
  <c r="D65" i="29"/>
  <c r="E65" i="29" s="1"/>
  <c r="F70" i="19"/>
  <c r="H70" i="19" s="1"/>
  <c r="B70" i="19"/>
  <c r="F71" i="4"/>
  <c r="H71" i="4" s="1"/>
  <c r="B71" i="4"/>
  <c r="B68" i="21"/>
  <c r="F68" i="21"/>
  <c r="D68" i="23"/>
  <c r="B67" i="22"/>
  <c r="F67" i="22"/>
  <c r="H67" i="22" s="1"/>
  <c r="D64" i="35"/>
  <c r="D68" i="27"/>
  <c r="E68" i="27" s="1"/>
  <c r="G67" i="23"/>
  <c r="I67" i="23" s="1"/>
  <c r="D147" i="35"/>
  <c r="G146" i="35"/>
  <c r="D66" i="25"/>
  <c r="E66" i="25" s="1"/>
  <c r="H63" i="35"/>
  <c r="G63" i="31"/>
  <c r="I63" i="31" s="1"/>
  <c r="B70" i="18"/>
  <c r="F70" i="18"/>
  <c r="G63" i="35"/>
  <c r="J152" i="4"/>
  <c r="D67" i="26"/>
  <c r="E67" i="26" s="1"/>
  <c r="D68" i="28"/>
  <c r="E68" i="28" s="1"/>
  <c r="D64" i="34"/>
  <c r="H64" i="29"/>
  <c r="I64" i="29" s="1"/>
  <c r="G145" i="37"/>
  <c r="D146" i="37"/>
  <c r="G153" i="4"/>
  <c r="D154" i="4"/>
  <c r="J152" i="3"/>
  <c r="D147" i="31"/>
  <c r="G146" i="31"/>
  <c r="J151" i="19"/>
  <c r="G151" i="29"/>
  <c r="D152" i="29"/>
  <c r="E152" i="29" s="1"/>
  <c r="B146" i="38"/>
  <c r="I149" i="21"/>
  <c r="H149" i="21"/>
  <c r="G151" i="28"/>
  <c r="D152" i="28"/>
  <c r="E152" i="28" s="1"/>
  <c r="H145" i="38"/>
  <c r="I145" i="38"/>
  <c r="B150" i="21"/>
  <c r="B150" i="25"/>
  <c r="H145" i="34"/>
  <c r="I145" i="34"/>
  <c r="I149" i="25"/>
  <c r="H149" i="25"/>
  <c r="F146" i="34"/>
  <c r="B146" i="34"/>
  <c r="I149" i="27"/>
  <c r="H149" i="27"/>
  <c r="E150" i="25"/>
  <c r="F150" i="25" s="1"/>
  <c r="J150" i="28"/>
  <c r="H149" i="24"/>
  <c r="I149" i="24"/>
  <c r="B150" i="27"/>
  <c r="F150" i="27"/>
  <c r="F147" i="13"/>
  <c r="B147" i="13"/>
  <c r="F150" i="24"/>
  <c r="B150" i="24"/>
  <c r="G152" i="19"/>
  <c r="D153" i="19"/>
  <c r="E146" i="38"/>
  <c r="F146" i="38" s="1"/>
  <c r="E150" i="21"/>
  <c r="F150" i="21" s="1"/>
  <c r="H146" i="13"/>
  <c r="I146" i="13"/>
  <c r="D155" i="23"/>
  <c r="G154" i="23"/>
  <c r="D150" i="22"/>
  <c r="E150" i="22" s="1"/>
  <c r="G149" i="22"/>
  <c r="G146" i="20"/>
  <c r="D147" i="20"/>
  <c r="J145" i="20"/>
  <c r="G153" i="3"/>
  <c r="D154" i="3"/>
  <c r="J153" i="23"/>
  <c r="J148" i="22"/>
  <c r="D71" i="24" l="1"/>
  <c r="H70" i="24"/>
  <c r="G70" i="24"/>
  <c r="H149" i="26"/>
  <c r="I149" i="26"/>
  <c r="E150" i="26"/>
  <c r="F150" i="26" s="1"/>
  <c r="B150" i="26"/>
  <c r="I152" i="18"/>
  <c r="H152" i="18"/>
  <c r="E153" i="18"/>
  <c r="F153" i="18" s="1"/>
  <c r="B153" i="18"/>
  <c r="G70" i="19"/>
  <c r="I70" i="19" s="1"/>
  <c r="G71" i="4"/>
  <c r="I71" i="4" s="1"/>
  <c r="I62" i="37"/>
  <c r="B64" i="34"/>
  <c r="D71" i="18"/>
  <c r="E71" i="18" s="1"/>
  <c r="B64" i="35"/>
  <c r="D69" i="21"/>
  <c r="E69" i="21" s="1"/>
  <c r="B64" i="31"/>
  <c r="F66" i="25"/>
  <c r="H66" i="25" s="1"/>
  <c r="B66" i="25"/>
  <c r="B68" i="28"/>
  <c r="F68" i="28"/>
  <c r="H68" i="28" s="1"/>
  <c r="G70" i="18"/>
  <c r="I146" i="35"/>
  <c r="H146" i="35"/>
  <c r="D68" i="22"/>
  <c r="E68" i="22" s="1"/>
  <c r="H68" i="21"/>
  <c r="B62" i="38"/>
  <c r="F62" i="38"/>
  <c r="G62" i="38" s="1"/>
  <c r="F63" i="37"/>
  <c r="G63" i="37" s="1"/>
  <c r="B63" i="37"/>
  <c r="E147" i="35"/>
  <c r="F147" i="35" s="1"/>
  <c r="B147" i="35"/>
  <c r="G67" i="22"/>
  <c r="I67" i="22" s="1"/>
  <c r="D71" i="19"/>
  <c r="E71" i="19" s="1"/>
  <c r="B67" i="26"/>
  <c r="F67" i="26"/>
  <c r="G67" i="26" s="1"/>
  <c r="D73" i="3"/>
  <c r="E73" i="3" s="1"/>
  <c r="E74" i="3" s="1"/>
  <c r="B68" i="23"/>
  <c r="G72" i="3"/>
  <c r="I72" i="3" s="1"/>
  <c r="I65" i="13"/>
  <c r="F68" i="27"/>
  <c r="G68" i="27" s="1"/>
  <c r="B68" i="27"/>
  <c r="E68" i="23"/>
  <c r="F68" i="23" s="1"/>
  <c r="D72" i="4"/>
  <c r="E72" i="4" s="1"/>
  <c r="F65" i="29"/>
  <c r="H65" i="29" s="1"/>
  <c r="E64" i="34"/>
  <c r="F64" i="34" s="1"/>
  <c r="H70" i="18"/>
  <c r="I63" i="35"/>
  <c r="E64" i="35"/>
  <c r="F64" i="35" s="1"/>
  <c r="G68" i="21"/>
  <c r="E64" i="31"/>
  <c r="F64" i="31" s="1"/>
  <c r="B66" i="13"/>
  <c r="F66" i="13"/>
  <c r="H66" i="13" s="1"/>
  <c r="H153" i="4"/>
  <c r="I153" i="4"/>
  <c r="E146" i="37"/>
  <c r="F146" i="37" s="1"/>
  <c r="B146" i="37"/>
  <c r="B154" i="4"/>
  <c r="E154" i="4"/>
  <c r="F154" i="4" s="1"/>
  <c r="I145" i="37"/>
  <c r="H145" i="37"/>
  <c r="H146" i="31"/>
  <c r="I146" i="31"/>
  <c r="B147" i="31"/>
  <c r="E147" i="31"/>
  <c r="F147" i="31" s="1"/>
  <c r="G150" i="25"/>
  <c r="D151" i="25"/>
  <c r="D151" i="21"/>
  <c r="E151" i="21" s="1"/>
  <c r="G150" i="21"/>
  <c r="D147" i="38"/>
  <c r="E147" i="38" s="1"/>
  <c r="G146" i="38"/>
  <c r="G150" i="24"/>
  <c r="D151" i="24"/>
  <c r="E151" i="24" s="1"/>
  <c r="D148" i="13"/>
  <c r="E148" i="13" s="1"/>
  <c r="G147" i="13"/>
  <c r="F152" i="29"/>
  <c r="B153" i="19"/>
  <c r="J149" i="27"/>
  <c r="B152" i="28"/>
  <c r="F152" i="28"/>
  <c r="I151" i="29"/>
  <c r="H151" i="29"/>
  <c r="H152" i="19"/>
  <c r="I152" i="19"/>
  <c r="G150" i="27"/>
  <c r="D151" i="27"/>
  <c r="E151" i="27" s="1"/>
  <c r="I151" i="28"/>
  <c r="H151" i="28"/>
  <c r="E153" i="19"/>
  <c r="F153" i="19" s="1"/>
  <c r="G146" i="34"/>
  <c r="D147" i="34"/>
  <c r="E147" i="34" s="1"/>
  <c r="J149" i="24"/>
  <c r="J149" i="21"/>
  <c r="B154" i="3"/>
  <c r="I154" i="23"/>
  <c r="H154" i="23"/>
  <c r="E155" i="23"/>
  <c r="E156" i="23" s="1"/>
  <c r="B147" i="20"/>
  <c r="E147" i="20"/>
  <c r="F147" i="20" s="1"/>
  <c r="E154" i="3"/>
  <c r="F154" i="3" s="1"/>
  <c r="F150" i="22"/>
  <c r="B150" i="22"/>
  <c r="H153" i="3"/>
  <c r="I153" i="3"/>
  <c r="I146" i="20"/>
  <c r="H146" i="20"/>
  <c r="H149" i="22"/>
  <c r="I149" i="22"/>
  <c r="I70" i="24" l="1"/>
  <c r="J149" i="26"/>
  <c r="E71" i="24"/>
  <c r="F71" i="24" s="1"/>
  <c r="B71" i="24"/>
  <c r="G150" i="26"/>
  <c r="D151" i="26"/>
  <c r="B151" i="26" s="1"/>
  <c r="G153" i="18"/>
  <c r="D154" i="18"/>
  <c r="B154" i="18" s="1"/>
  <c r="J146" i="31"/>
  <c r="J152" i="18"/>
  <c r="G66" i="25"/>
  <c r="I66" i="25" s="1"/>
  <c r="H67" i="26"/>
  <c r="I67" i="26" s="1"/>
  <c r="J153" i="4"/>
  <c r="D69" i="23"/>
  <c r="E69" i="23" s="1"/>
  <c r="G68" i="23"/>
  <c r="H68" i="23"/>
  <c r="D65" i="31"/>
  <c r="E65" i="31" s="1"/>
  <c r="G64" i="31"/>
  <c r="H64" i="31"/>
  <c r="D65" i="35"/>
  <c r="E65" i="35" s="1"/>
  <c r="H64" i="35"/>
  <c r="G64" i="35"/>
  <c r="D65" i="34"/>
  <c r="E65" i="34" s="1"/>
  <c r="H64" i="34"/>
  <c r="G64" i="34"/>
  <c r="I68" i="21"/>
  <c r="D67" i="13"/>
  <c r="E67" i="13" s="1"/>
  <c r="D66" i="29"/>
  <c r="E66" i="29" s="1"/>
  <c r="D69" i="27"/>
  <c r="E69" i="27" s="1"/>
  <c r="D64" i="37"/>
  <c r="E64" i="37" s="1"/>
  <c r="F68" i="22"/>
  <c r="H68" i="22" s="1"/>
  <c r="B68" i="22"/>
  <c r="B71" i="18"/>
  <c r="F71" i="18"/>
  <c r="H71" i="18" s="1"/>
  <c r="G65" i="29"/>
  <c r="I65" i="29" s="1"/>
  <c r="B71" i="19"/>
  <c r="F71" i="19"/>
  <c r="H71" i="19" s="1"/>
  <c r="H63" i="37"/>
  <c r="I63" i="37" s="1"/>
  <c r="F73" i="3"/>
  <c r="H73" i="3" s="1"/>
  <c r="B73" i="3"/>
  <c r="F69" i="21"/>
  <c r="G69" i="21" s="1"/>
  <c r="B69" i="21"/>
  <c r="B72" i="4"/>
  <c r="F72" i="4"/>
  <c r="D63" i="38"/>
  <c r="E63" i="38" s="1"/>
  <c r="G147" i="35"/>
  <c r="D148" i="35"/>
  <c r="D69" i="28"/>
  <c r="D67" i="25"/>
  <c r="E67" i="25" s="1"/>
  <c r="G66" i="13"/>
  <c r="I66" i="13" s="1"/>
  <c r="I70" i="18"/>
  <c r="H68" i="27"/>
  <c r="I68" i="27" s="1"/>
  <c r="D68" i="26"/>
  <c r="E68" i="26" s="1"/>
  <c r="H62" i="38"/>
  <c r="I62" i="38" s="1"/>
  <c r="G68" i="28"/>
  <c r="I68" i="28" s="1"/>
  <c r="D155" i="4"/>
  <c r="G154" i="4"/>
  <c r="G146" i="37"/>
  <c r="D147" i="37"/>
  <c r="J152" i="19"/>
  <c r="G147" i="31"/>
  <c r="D148" i="31"/>
  <c r="J153" i="3"/>
  <c r="G153" i="19"/>
  <c r="D154" i="19"/>
  <c r="J151" i="28"/>
  <c r="F147" i="38"/>
  <c r="B147" i="38"/>
  <c r="H147" i="13"/>
  <c r="I147" i="13"/>
  <c r="G152" i="29"/>
  <c r="D153" i="29"/>
  <c r="B151" i="27"/>
  <c r="F151" i="27"/>
  <c r="G152" i="28"/>
  <c r="D153" i="28"/>
  <c r="B148" i="13"/>
  <c r="F148" i="13"/>
  <c r="H150" i="21"/>
  <c r="I150" i="21"/>
  <c r="H150" i="27"/>
  <c r="I150" i="27"/>
  <c r="B151" i="21"/>
  <c r="F151" i="21"/>
  <c r="F151" i="24"/>
  <c r="B151" i="24"/>
  <c r="B151" i="25"/>
  <c r="H146" i="34"/>
  <c r="I146" i="34"/>
  <c r="H150" i="24"/>
  <c r="I150" i="24"/>
  <c r="H150" i="25"/>
  <c r="I150" i="25"/>
  <c r="F147" i="34"/>
  <c r="B147" i="34"/>
  <c r="H146" i="38"/>
  <c r="I146" i="38"/>
  <c r="E151" i="25"/>
  <c r="F151" i="25" s="1"/>
  <c r="J154" i="23"/>
  <c r="D155" i="3"/>
  <c r="G154" i="3"/>
  <c r="G150" i="22"/>
  <c r="D151" i="22"/>
  <c r="G147" i="20"/>
  <c r="D148" i="20"/>
  <c r="J146" i="20"/>
  <c r="J149" i="22"/>
  <c r="F155" i="23"/>
  <c r="G155" i="23" s="1"/>
  <c r="G71" i="24" l="1"/>
  <c r="H71" i="24"/>
  <c r="D72" i="24"/>
  <c r="E154" i="18"/>
  <c r="F154" i="18" s="1"/>
  <c r="G154" i="18" s="1"/>
  <c r="H154" i="18" s="1"/>
  <c r="E151" i="26"/>
  <c r="F151" i="26" s="1"/>
  <c r="H150" i="26"/>
  <c r="I150" i="26"/>
  <c r="J150" i="27"/>
  <c r="H153" i="18"/>
  <c r="I153" i="18"/>
  <c r="I64" i="34"/>
  <c r="G71" i="18"/>
  <c r="I71" i="18" s="1"/>
  <c r="I68" i="23"/>
  <c r="H74" i="3"/>
  <c r="B69" i="28"/>
  <c r="D73" i="4"/>
  <c r="G73" i="3"/>
  <c r="G74" i="3" s="1"/>
  <c r="D72" i="18"/>
  <c r="E72" i="18" s="1"/>
  <c r="B148" i="35"/>
  <c r="E148" i="35"/>
  <c r="F148" i="35" s="1"/>
  <c r="B64" i="37"/>
  <c r="F64" i="37"/>
  <c r="F66" i="29"/>
  <c r="H147" i="35"/>
  <c r="I147" i="35"/>
  <c r="B65" i="34"/>
  <c r="F65" i="34"/>
  <c r="G65" i="34" s="1"/>
  <c r="B65" i="31"/>
  <c r="F65" i="31"/>
  <c r="G65" i="31" s="1"/>
  <c r="J150" i="21"/>
  <c r="D72" i="19"/>
  <c r="E72" i="19" s="1"/>
  <c r="B68" i="26"/>
  <c r="F68" i="26"/>
  <c r="G68" i="26" s="1"/>
  <c r="D70" i="21"/>
  <c r="E70" i="21" s="1"/>
  <c r="B67" i="13"/>
  <c r="F67" i="13"/>
  <c r="G67" i="13" s="1"/>
  <c r="I64" i="35"/>
  <c r="B63" i="38"/>
  <c r="F63" i="38"/>
  <c r="G63" i="38" s="1"/>
  <c r="H69" i="21"/>
  <c r="I69" i="21" s="1"/>
  <c r="B67" i="25"/>
  <c r="F67" i="25"/>
  <c r="H67" i="25" s="1"/>
  <c r="G72" i="4"/>
  <c r="G71" i="19"/>
  <c r="I71" i="19" s="1"/>
  <c r="D69" i="22"/>
  <c r="E69" i="22" s="1"/>
  <c r="B65" i="35"/>
  <c r="F65" i="35"/>
  <c r="H65" i="35" s="1"/>
  <c r="B69" i="23"/>
  <c r="F69" i="23"/>
  <c r="G69" i="23" s="1"/>
  <c r="E69" i="28"/>
  <c r="F69" i="28" s="1"/>
  <c r="H72" i="4"/>
  <c r="G68" i="22"/>
  <c r="I68" i="22" s="1"/>
  <c r="F69" i="27"/>
  <c r="H69" i="27" s="1"/>
  <c r="B69" i="27"/>
  <c r="I64" i="31"/>
  <c r="E147" i="37"/>
  <c r="F147" i="37" s="1"/>
  <c r="B147" i="37"/>
  <c r="H146" i="37"/>
  <c r="I146" i="37"/>
  <c r="I154" i="4"/>
  <c r="H154" i="4"/>
  <c r="E155" i="4"/>
  <c r="E156" i="4" s="1"/>
  <c r="B155" i="4"/>
  <c r="E148" i="31"/>
  <c r="F148" i="31" s="1"/>
  <c r="B148" i="31"/>
  <c r="J150" i="24"/>
  <c r="H147" i="31"/>
  <c r="I147" i="31"/>
  <c r="G151" i="25"/>
  <c r="D152" i="25"/>
  <c r="E152" i="25" s="1"/>
  <c r="B153" i="28"/>
  <c r="I152" i="28"/>
  <c r="H152" i="28"/>
  <c r="E153" i="28"/>
  <c r="F153" i="28" s="1"/>
  <c r="D152" i="24"/>
  <c r="E152" i="24" s="1"/>
  <c r="G151" i="24"/>
  <c r="G151" i="27"/>
  <c r="D152" i="27"/>
  <c r="E152" i="27" s="1"/>
  <c r="G147" i="38"/>
  <c r="D148" i="38"/>
  <c r="E148" i="38" s="1"/>
  <c r="B154" i="19"/>
  <c r="H152" i="29"/>
  <c r="I152" i="29"/>
  <c r="D152" i="21"/>
  <c r="G151" i="21"/>
  <c r="I153" i="19"/>
  <c r="H153" i="19"/>
  <c r="G148" i="13"/>
  <c r="D149" i="13"/>
  <c r="D148" i="34"/>
  <c r="G147" i="34"/>
  <c r="E153" i="29"/>
  <c r="F153" i="29" s="1"/>
  <c r="E154" i="19"/>
  <c r="F154" i="19" s="1"/>
  <c r="B155" i="3"/>
  <c r="E155" i="3"/>
  <c r="E156" i="3" s="1"/>
  <c r="B151" i="22"/>
  <c r="B148" i="20"/>
  <c r="H147" i="20"/>
  <c r="I147" i="20"/>
  <c r="H150" i="22"/>
  <c r="I150" i="22"/>
  <c r="I155" i="23"/>
  <c r="H155" i="23"/>
  <c r="H156" i="23" s="1"/>
  <c r="E148" i="20"/>
  <c r="F148" i="20" s="1"/>
  <c r="E151" i="22"/>
  <c r="F151" i="22" s="1"/>
  <c r="I154" i="3"/>
  <c r="H154" i="3"/>
  <c r="I71" i="24" l="1"/>
  <c r="J153" i="18"/>
  <c r="H65" i="34"/>
  <c r="I65" i="34" s="1"/>
  <c r="H65" i="31"/>
  <c r="I65" i="31" s="1"/>
  <c r="J147" i="31"/>
  <c r="D155" i="18"/>
  <c r="B155" i="18" s="1"/>
  <c r="I154" i="18"/>
  <c r="J154" i="18" s="1"/>
  <c r="E72" i="24"/>
  <c r="F72" i="24" s="1"/>
  <c r="B72" i="24"/>
  <c r="J150" i="26"/>
  <c r="D152" i="26"/>
  <c r="G151" i="26"/>
  <c r="G69" i="27"/>
  <c r="I69" i="27" s="1"/>
  <c r="J150" i="22"/>
  <c r="H63" i="38"/>
  <c r="I63" i="38" s="1"/>
  <c r="G67" i="25"/>
  <c r="I67" i="25" s="1"/>
  <c r="H69" i="23"/>
  <c r="I69" i="23" s="1"/>
  <c r="D70" i="28"/>
  <c r="E70" i="28" s="1"/>
  <c r="H69" i="28"/>
  <c r="G69" i="28"/>
  <c r="D68" i="13"/>
  <c r="E68" i="13" s="1"/>
  <c r="D69" i="26"/>
  <c r="E69" i="26" s="1"/>
  <c r="B69" i="22"/>
  <c r="F69" i="22"/>
  <c r="G69" i="22" s="1"/>
  <c r="H67" i="13"/>
  <c r="I67" i="13" s="1"/>
  <c r="H68" i="26"/>
  <c r="I68" i="26" s="1"/>
  <c r="D149" i="35"/>
  <c r="G148" i="35"/>
  <c r="B73" i="4"/>
  <c r="D70" i="23"/>
  <c r="E70" i="23" s="1"/>
  <c r="D67" i="29"/>
  <c r="E67" i="29" s="1"/>
  <c r="D70" i="27"/>
  <c r="E70" i="27" s="1"/>
  <c r="D64" i="38"/>
  <c r="E64" i="38" s="1"/>
  <c r="G66" i="29"/>
  <c r="D66" i="35"/>
  <c r="B72" i="19"/>
  <c r="F72" i="19"/>
  <c r="G72" i="19" s="1"/>
  <c r="D66" i="34"/>
  <c r="E66" i="34" s="1"/>
  <c r="H66" i="29"/>
  <c r="F72" i="18"/>
  <c r="H72" i="18" s="1"/>
  <c r="B72" i="18"/>
  <c r="D65" i="37"/>
  <c r="E65" i="37" s="1"/>
  <c r="G64" i="37"/>
  <c r="I73" i="3"/>
  <c r="I74" i="3" s="1"/>
  <c r="I72" i="4"/>
  <c r="G65" i="35"/>
  <c r="I65" i="35" s="1"/>
  <c r="D68" i="25"/>
  <c r="E68" i="25" s="1"/>
  <c r="F70" i="21"/>
  <c r="H70" i="21" s="1"/>
  <c r="B70" i="21"/>
  <c r="D66" i="31"/>
  <c r="E66" i="31" s="1"/>
  <c r="H64" i="37"/>
  <c r="E73" i="4"/>
  <c r="E74" i="4" s="1"/>
  <c r="J154" i="4"/>
  <c r="F155" i="4"/>
  <c r="G155" i="4" s="1"/>
  <c r="D148" i="37"/>
  <c r="G147" i="37"/>
  <c r="G148" i="31"/>
  <c r="D149" i="31"/>
  <c r="J153" i="19"/>
  <c r="G154" i="19"/>
  <c r="D155" i="19"/>
  <c r="E155" i="19" s="1"/>
  <c r="E156" i="19" s="1"/>
  <c r="G153" i="29"/>
  <c r="D154" i="29"/>
  <c r="B152" i="21"/>
  <c r="B149" i="13"/>
  <c r="B152" i="24"/>
  <c r="F152" i="24"/>
  <c r="B148" i="34"/>
  <c r="H148" i="13"/>
  <c r="I148" i="13"/>
  <c r="J152" i="28"/>
  <c r="H147" i="34"/>
  <c r="I147" i="34"/>
  <c r="E149" i="13"/>
  <c r="F149" i="13" s="1"/>
  <c r="B152" i="27"/>
  <c r="F152" i="27"/>
  <c r="B148" i="38"/>
  <c r="F148" i="38"/>
  <c r="H147" i="38"/>
  <c r="I147" i="38"/>
  <c r="H151" i="27"/>
  <c r="I151" i="27"/>
  <c r="F152" i="25"/>
  <c r="B152" i="25"/>
  <c r="H151" i="21"/>
  <c r="I151" i="21"/>
  <c r="G153" i="28"/>
  <c r="D154" i="28"/>
  <c r="E154" i="28" s="1"/>
  <c r="I151" i="24"/>
  <c r="H151" i="24"/>
  <c r="E148" i="34"/>
  <c r="F148" i="34" s="1"/>
  <c r="E152" i="21"/>
  <c r="F152" i="21" s="1"/>
  <c r="H151" i="25"/>
  <c r="I151" i="25"/>
  <c r="G151" i="22"/>
  <c r="D152" i="22"/>
  <c r="J155" i="23"/>
  <c r="J156" i="23" s="1"/>
  <c r="I156" i="23"/>
  <c r="J154" i="3"/>
  <c r="D149" i="20"/>
  <c r="G148" i="20"/>
  <c r="J147" i="20"/>
  <c r="F155" i="3"/>
  <c r="G155" i="3" s="1"/>
  <c r="E155" i="18" l="1"/>
  <c r="E156" i="18" s="1"/>
  <c r="D73" i="24"/>
  <c r="B73" i="24" s="1"/>
  <c r="H72" i="24"/>
  <c r="G72" i="24"/>
  <c r="I151" i="26"/>
  <c r="H151" i="26"/>
  <c r="E152" i="26"/>
  <c r="F152" i="26" s="1"/>
  <c r="B152" i="26"/>
  <c r="G72" i="18"/>
  <c r="I72" i="18" s="1"/>
  <c r="G70" i="21"/>
  <c r="I70" i="21" s="1"/>
  <c r="I66" i="29"/>
  <c r="B66" i="35"/>
  <c r="D71" i="21"/>
  <c r="E71" i="21" s="1"/>
  <c r="F73" i="4"/>
  <c r="D70" i="22"/>
  <c r="B66" i="34"/>
  <c r="F66" i="34"/>
  <c r="H66" i="34" s="1"/>
  <c r="F67" i="29"/>
  <c r="I148" i="35"/>
  <c r="H148" i="35"/>
  <c r="I64" i="37"/>
  <c r="F65" i="37"/>
  <c r="H65" i="37" s="1"/>
  <c r="B65" i="37"/>
  <c r="H72" i="19"/>
  <c r="I72" i="19" s="1"/>
  <c r="E149" i="35"/>
  <c r="F149" i="35" s="1"/>
  <c r="B149" i="35"/>
  <c r="B68" i="25"/>
  <c r="F68" i="25"/>
  <c r="G68" i="25" s="1"/>
  <c r="D73" i="19"/>
  <c r="E73" i="19" s="1"/>
  <c r="E74" i="19" s="1"/>
  <c r="B64" i="38"/>
  <c r="F64" i="38"/>
  <c r="G64" i="38" s="1"/>
  <c r="F70" i="23"/>
  <c r="H70" i="23" s="1"/>
  <c r="B70" i="23"/>
  <c r="F69" i="26"/>
  <c r="H69" i="26" s="1"/>
  <c r="B69" i="26"/>
  <c r="I69" i="28"/>
  <c r="F66" i="31"/>
  <c r="G66" i="31" s="1"/>
  <c r="B66" i="31"/>
  <c r="D73" i="18"/>
  <c r="E73" i="18" s="1"/>
  <c r="E74" i="18" s="1"/>
  <c r="E66" i="35"/>
  <c r="F66" i="35" s="1"/>
  <c r="B70" i="27"/>
  <c r="F70" i="27"/>
  <c r="G70" i="27" s="1"/>
  <c r="H69" i="22"/>
  <c r="I69" i="22" s="1"/>
  <c r="B68" i="13"/>
  <c r="F68" i="13"/>
  <c r="H68" i="13" s="1"/>
  <c r="F70" i="28"/>
  <c r="H70" i="28" s="1"/>
  <c r="B70" i="28"/>
  <c r="H147" i="37"/>
  <c r="I147" i="37"/>
  <c r="E148" i="37"/>
  <c r="F148" i="37" s="1"/>
  <c r="B148" i="37"/>
  <c r="J151" i="24"/>
  <c r="H155" i="4"/>
  <c r="H156" i="4" s="1"/>
  <c r="I155" i="4"/>
  <c r="J151" i="21"/>
  <c r="E149" i="31"/>
  <c r="F149" i="31" s="1"/>
  <c r="B149" i="31"/>
  <c r="H148" i="31"/>
  <c r="I148" i="31"/>
  <c r="J151" i="27"/>
  <c r="G149" i="13"/>
  <c r="D150" i="13"/>
  <c r="D149" i="34"/>
  <c r="E149" i="34" s="1"/>
  <c r="G148" i="34"/>
  <c r="G152" i="25"/>
  <c r="D153" i="25"/>
  <c r="G152" i="24"/>
  <c r="D153" i="24"/>
  <c r="E153" i="24" s="1"/>
  <c r="I153" i="29"/>
  <c r="H153" i="29"/>
  <c r="F155" i="19"/>
  <c r="G155" i="19" s="1"/>
  <c r="B155" i="19"/>
  <c r="F154" i="28"/>
  <c r="B154" i="28"/>
  <c r="D153" i="27"/>
  <c r="E153" i="27" s="1"/>
  <c r="G152" i="27"/>
  <c r="I154" i="19"/>
  <c r="H154" i="19"/>
  <c r="G152" i="21"/>
  <c r="D153" i="21"/>
  <c r="H153" i="28"/>
  <c r="I153" i="28"/>
  <c r="D149" i="38"/>
  <c r="G148" i="38"/>
  <c r="E154" i="29"/>
  <c r="F154" i="29" s="1"/>
  <c r="H148" i="20"/>
  <c r="I148" i="20"/>
  <c r="B152" i="22"/>
  <c r="I151" i="22"/>
  <c r="H151" i="22"/>
  <c r="B149" i="20"/>
  <c r="H155" i="3"/>
  <c r="H156" i="3" s="1"/>
  <c r="I155" i="3"/>
  <c r="E149" i="20"/>
  <c r="F149" i="20" s="1"/>
  <c r="E152" i="22"/>
  <c r="F152" i="22" s="1"/>
  <c r="F155" i="18" l="1"/>
  <c r="G155" i="18" s="1"/>
  <c r="H155" i="18" s="1"/>
  <c r="H156" i="18" s="1"/>
  <c r="E73" i="24"/>
  <c r="E74" i="24" s="1"/>
  <c r="I155" i="18"/>
  <c r="I156" i="18" s="1"/>
  <c r="I72" i="24"/>
  <c r="G152" i="26"/>
  <c r="D153" i="26"/>
  <c r="J151" i="26"/>
  <c r="G70" i="28"/>
  <c r="I70" i="28" s="1"/>
  <c r="G70" i="23"/>
  <c r="H64" i="38"/>
  <c r="I64" i="38" s="1"/>
  <c r="H66" i="31"/>
  <c r="I66" i="31" s="1"/>
  <c r="H70" i="27"/>
  <c r="I70" i="27" s="1"/>
  <c r="D67" i="35"/>
  <c r="E67" i="35" s="1"/>
  <c r="G66" i="35"/>
  <c r="H66" i="35"/>
  <c r="B70" i="22"/>
  <c r="D69" i="25"/>
  <c r="E69" i="25" s="1"/>
  <c r="D66" i="37"/>
  <c r="E66" i="37" s="1"/>
  <c r="D67" i="34"/>
  <c r="E67" i="34" s="1"/>
  <c r="H73" i="4"/>
  <c r="G73" i="4"/>
  <c r="G74" i="4" s="1"/>
  <c r="F73" i="18"/>
  <c r="H73" i="18" s="1"/>
  <c r="B73" i="18"/>
  <c r="D70" i="26"/>
  <c r="E70" i="26" s="1"/>
  <c r="D65" i="38"/>
  <c r="E65" i="38" s="1"/>
  <c r="D150" i="35"/>
  <c r="G149" i="35"/>
  <c r="B71" i="21"/>
  <c r="F71" i="21"/>
  <c r="H71" i="21" s="1"/>
  <c r="D68" i="29"/>
  <c r="E68" i="29" s="1"/>
  <c r="G69" i="26"/>
  <c r="I69" i="26" s="1"/>
  <c r="G66" i="34"/>
  <c r="I66" i="34" s="1"/>
  <c r="I70" i="23"/>
  <c r="D71" i="27"/>
  <c r="E71" i="27" s="1"/>
  <c r="B73" i="19"/>
  <c r="F73" i="19"/>
  <c r="H73" i="19" s="1"/>
  <c r="G67" i="29"/>
  <c r="D69" i="13"/>
  <c r="E69" i="13" s="1"/>
  <c r="G68" i="13"/>
  <c r="I68" i="13" s="1"/>
  <c r="J148" i="31"/>
  <c r="D71" i="28"/>
  <c r="D67" i="31"/>
  <c r="E67" i="31" s="1"/>
  <c r="D71" i="23"/>
  <c r="E71" i="23" s="1"/>
  <c r="H68" i="25"/>
  <c r="I68" i="25" s="1"/>
  <c r="G65" i="37"/>
  <c r="I65" i="37" s="1"/>
  <c r="H67" i="29"/>
  <c r="E70" i="22"/>
  <c r="F70" i="22" s="1"/>
  <c r="G148" i="37"/>
  <c r="D149" i="37"/>
  <c r="J155" i="4"/>
  <c r="J156" i="4" s="1"/>
  <c r="I156" i="4"/>
  <c r="J154" i="19"/>
  <c r="J148" i="20"/>
  <c r="G149" i="31"/>
  <c r="D150" i="31"/>
  <c r="E150" i="31" s="1"/>
  <c r="J153" i="28"/>
  <c r="G154" i="29"/>
  <c r="D155" i="29"/>
  <c r="E155" i="29" s="1"/>
  <c r="E156" i="29" s="1"/>
  <c r="B153" i="21"/>
  <c r="H148" i="38"/>
  <c r="I148" i="38"/>
  <c r="I155" i="19"/>
  <c r="H155" i="19"/>
  <c r="H156" i="19" s="1"/>
  <c r="B153" i="24"/>
  <c r="F153" i="24"/>
  <c r="I152" i="25"/>
  <c r="H152" i="25"/>
  <c r="B149" i="38"/>
  <c r="I152" i="24"/>
  <c r="H152" i="24"/>
  <c r="H148" i="34"/>
  <c r="I148" i="34"/>
  <c r="E149" i="38"/>
  <c r="F149" i="38" s="1"/>
  <c r="B149" i="34"/>
  <c r="F149" i="34"/>
  <c r="I152" i="21"/>
  <c r="H152" i="21"/>
  <c r="H152" i="27"/>
  <c r="I152" i="27"/>
  <c r="B150" i="13"/>
  <c r="G154" i="28"/>
  <c r="D155" i="28"/>
  <c r="E155" i="28" s="1"/>
  <c r="E156" i="28" s="1"/>
  <c r="F153" i="27"/>
  <c r="B153" i="27"/>
  <c r="B153" i="25"/>
  <c r="H149" i="13"/>
  <c r="I149" i="13"/>
  <c r="E153" i="21"/>
  <c r="F153" i="21" s="1"/>
  <c r="E153" i="25"/>
  <c r="F153" i="25" s="1"/>
  <c r="E150" i="13"/>
  <c r="F150" i="13" s="1"/>
  <c r="G152" i="22"/>
  <c r="D153" i="22"/>
  <c r="E153" i="22" s="1"/>
  <c r="G149" i="20"/>
  <c r="D150" i="20"/>
  <c r="J151" i="22"/>
  <c r="J155" i="18"/>
  <c r="J156" i="18" s="1"/>
  <c r="J155" i="3"/>
  <c r="J156" i="3" s="1"/>
  <c r="I156" i="3"/>
  <c r="F73" i="24" l="1"/>
  <c r="E153" i="26"/>
  <c r="F153" i="26" s="1"/>
  <c r="B153" i="26"/>
  <c r="I152" i="26"/>
  <c r="H152" i="26"/>
  <c r="G73" i="18"/>
  <c r="G74" i="18" s="1"/>
  <c r="I67" i="29"/>
  <c r="G73" i="19"/>
  <c r="G74" i="19" s="1"/>
  <c r="G71" i="21"/>
  <c r="I71" i="21" s="1"/>
  <c r="I66" i="35"/>
  <c r="D71" i="22"/>
  <c r="E71" i="22" s="1"/>
  <c r="G70" i="22"/>
  <c r="H70" i="22"/>
  <c r="I73" i="4"/>
  <c r="I74" i="4" s="1"/>
  <c r="H74" i="4"/>
  <c r="H149" i="35"/>
  <c r="I149" i="35"/>
  <c r="E150" i="35"/>
  <c r="F150" i="35" s="1"/>
  <c r="B150" i="35"/>
  <c r="B67" i="34"/>
  <c r="F67" i="34"/>
  <c r="B71" i="23"/>
  <c r="F71" i="23"/>
  <c r="H71" i="23" s="1"/>
  <c r="F68" i="29"/>
  <c r="G68" i="29" s="1"/>
  <c r="B71" i="28"/>
  <c r="H74" i="18"/>
  <c r="B69" i="13"/>
  <c r="F69" i="13"/>
  <c r="H69" i="13" s="1"/>
  <c r="F65" i="38"/>
  <c r="G65" i="38" s="1"/>
  <c r="B65" i="38"/>
  <c r="B66" i="37"/>
  <c r="F66" i="37"/>
  <c r="G66" i="37" s="1"/>
  <c r="B71" i="27"/>
  <c r="F71" i="27"/>
  <c r="H71" i="27" s="1"/>
  <c r="H74" i="19"/>
  <c r="B67" i="31"/>
  <c r="F67" i="31"/>
  <c r="H67" i="31" s="1"/>
  <c r="D72" i="21"/>
  <c r="E72" i="21" s="1"/>
  <c r="B70" i="26"/>
  <c r="F70" i="26"/>
  <c r="G70" i="26" s="1"/>
  <c r="B69" i="25"/>
  <c r="F69" i="25"/>
  <c r="H69" i="25" s="1"/>
  <c r="E71" i="28"/>
  <c r="F71" i="28" s="1"/>
  <c r="B67" i="35"/>
  <c r="F67" i="35"/>
  <c r="H67" i="35" s="1"/>
  <c r="E149" i="37"/>
  <c r="F149" i="37" s="1"/>
  <c r="B149" i="37"/>
  <c r="H148" i="37"/>
  <c r="I148" i="37"/>
  <c r="J152" i="24"/>
  <c r="F150" i="31"/>
  <c r="B150" i="31"/>
  <c r="I149" i="31"/>
  <c r="H149" i="31"/>
  <c r="J152" i="27"/>
  <c r="D154" i="21"/>
  <c r="E154" i="21" s="1"/>
  <c r="G153" i="21"/>
  <c r="D154" i="25"/>
  <c r="E154" i="25" s="1"/>
  <c r="G153" i="25"/>
  <c r="G150" i="13"/>
  <c r="D151" i="13"/>
  <c r="E151" i="13" s="1"/>
  <c r="J152" i="21"/>
  <c r="G153" i="27"/>
  <c r="D154" i="27"/>
  <c r="E154" i="27" s="1"/>
  <c r="G149" i="34"/>
  <c r="D150" i="34"/>
  <c r="D150" i="38"/>
  <c r="E150" i="38" s="1"/>
  <c r="G149" i="38"/>
  <c r="B155" i="28"/>
  <c r="F155" i="28"/>
  <c r="G155" i="28" s="1"/>
  <c r="I154" i="28"/>
  <c r="H154" i="28"/>
  <c r="G153" i="24"/>
  <c r="D154" i="24"/>
  <c r="E154" i="24" s="1"/>
  <c r="F155" i="29"/>
  <c r="G155" i="29" s="1"/>
  <c r="J155" i="19"/>
  <c r="J156" i="19" s="1"/>
  <c r="I156" i="19"/>
  <c r="I154" i="29"/>
  <c r="H154" i="29"/>
  <c r="H149" i="20"/>
  <c r="I149" i="20"/>
  <c r="B150" i="20"/>
  <c r="E150" i="20"/>
  <c r="F150" i="20" s="1"/>
  <c r="B153" i="22"/>
  <c r="F153" i="22"/>
  <c r="H152" i="22"/>
  <c r="I152" i="22"/>
  <c r="I73" i="18" l="1"/>
  <c r="I74" i="18" s="1"/>
  <c r="H73" i="24"/>
  <c r="G73" i="24"/>
  <c r="G74" i="24" s="1"/>
  <c r="J152" i="26"/>
  <c r="D154" i="26"/>
  <c r="G153" i="26"/>
  <c r="I73" i="19"/>
  <c r="I74" i="19" s="1"/>
  <c r="I70" i="22"/>
  <c r="H70" i="26"/>
  <c r="I70" i="26" s="1"/>
  <c r="H65" i="38"/>
  <c r="I65" i="38" s="1"/>
  <c r="G71" i="23"/>
  <c r="I71" i="23" s="1"/>
  <c r="D72" i="28"/>
  <c r="E72" i="28" s="1"/>
  <c r="H71" i="28"/>
  <c r="G71" i="28"/>
  <c r="H66" i="37"/>
  <c r="I66" i="37" s="1"/>
  <c r="D70" i="13"/>
  <c r="E70" i="13" s="1"/>
  <c r="D68" i="34"/>
  <c r="E68" i="34" s="1"/>
  <c r="G67" i="34"/>
  <c r="D70" i="25"/>
  <c r="B72" i="21"/>
  <c r="F72" i="21"/>
  <c r="H72" i="21" s="1"/>
  <c r="D72" i="27"/>
  <c r="E72" i="27" s="1"/>
  <c r="G69" i="13"/>
  <c r="I69" i="13" s="1"/>
  <c r="D69" i="29"/>
  <c r="E69" i="29" s="1"/>
  <c r="D67" i="37"/>
  <c r="E67" i="37" s="1"/>
  <c r="G67" i="31"/>
  <c r="I67" i="31" s="1"/>
  <c r="G71" i="27"/>
  <c r="I71" i="27" s="1"/>
  <c r="H68" i="29"/>
  <c r="I68" i="29" s="1"/>
  <c r="H67" i="34"/>
  <c r="D68" i="35"/>
  <c r="E68" i="35" s="1"/>
  <c r="G69" i="25"/>
  <c r="I69" i="25" s="1"/>
  <c r="D71" i="26"/>
  <c r="E71" i="26" s="1"/>
  <c r="D68" i="31"/>
  <c r="E68" i="31" s="1"/>
  <c r="D72" i="23"/>
  <c r="E72" i="23" s="1"/>
  <c r="D151" i="35"/>
  <c r="G150" i="35"/>
  <c r="G67" i="35"/>
  <c r="I67" i="35" s="1"/>
  <c r="D66" i="38"/>
  <c r="E66" i="38" s="1"/>
  <c r="B71" i="22"/>
  <c r="F71" i="22"/>
  <c r="H71" i="22" s="1"/>
  <c r="D150" i="37"/>
  <c r="G149" i="37"/>
  <c r="J149" i="31"/>
  <c r="G150" i="31"/>
  <c r="D151" i="31"/>
  <c r="J154" i="28"/>
  <c r="B150" i="34"/>
  <c r="H149" i="34"/>
  <c r="I149" i="34"/>
  <c r="I153" i="25"/>
  <c r="H153" i="25"/>
  <c r="E150" i="34"/>
  <c r="F150" i="34" s="1"/>
  <c r="H150" i="13"/>
  <c r="I150" i="13"/>
  <c r="I155" i="28"/>
  <c r="H155" i="28"/>
  <c r="H156" i="28" s="1"/>
  <c r="B154" i="27"/>
  <c r="F154" i="27"/>
  <c r="F154" i="25"/>
  <c r="B154" i="25"/>
  <c r="F154" i="24"/>
  <c r="B154" i="24"/>
  <c r="H149" i="38"/>
  <c r="I149" i="38"/>
  <c r="H153" i="27"/>
  <c r="I153" i="27"/>
  <c r="J149" i="20"/>
  <c r="H153" i="24"/>
  <c r="I153" i="24"/>
  <c r="I153" i="21"/>
  <c r="H153" i="21"/>
  <c r="I155" i="29"/>
  <c r="I156" i="29" s="1"/>
  <c r="H155" i="29"/>
  <c r="H156" i="29" s="1"/>
  <c r="B150" i="38"/>
  <c r="F150" i="38"/>
  <c r="B151" i="13"/>
  <c r="F151" i="13"/>
  <c r="B154" i="21"/>
  <c r="F154" i="21"/>
  <c r="G150" i="20"/>
  <c r="D151" i="20"/>
  <c r="D154" i="22"/>
  <c r="E154" i="22" s="1"/>
  <c r="G153" i="22"/>
  <c r="J152" i="22"/>
  <c r="H74" i="24" l="1"/>
  <c r="I73" i="24"/>
  <c r="I74" i="24" s="1"/>
  <c r="I153" i="26"/>
  <c r="H153" i="26"/>
  <c r="B154" i="26"/>
  <c r="E154" i="26"/>
  <c r="F154" i="26" s="1"/>
  <c r="I67" i="34"/>
  <c r="G72" i="21"/>
  <c r="I72" i="21" s="1"/>
  <c r="B70" i="25"/>
  <c r="B68" i="31"/>
  <c r="F68" i="31"/>
  <c r="H68" i="31" s="1"/>
  <c r="F72" i="27"/>
  <c r="G72" i="27" s="1"/>
  <c r="B72" i="27"/>
  <c r="B66" i="38"/>
  <c r="F66" i="38"/>
  <c r="B71" i="26"/>
  <c r="F71" i="26"/>
  <c r="G71" i="26" s="1"/>
  <c r="B68" i="34"/>
  <c r="F68" i="34"/>
  <c r="G68" i="34" s="1"/>
  <c r="I71" i="28"/>
  <c r="H150" i="35"/>
  <c r="I150" i="35"/>
  <c r="F67" i="37"/>
  <c r="H67" i="37" s="1"/>
  <c r="B67" i="37"/>
  <c r="D73" i="21"/>
  <c r="E73" i="21" s="1"/>
  <c r="E74" i="21" s="1"/>
  <c r="D72" i="22"/>
  <c r="E72" i="22" s="1"/>
  <c r="E151" i="35"/>
  <c r="F151" i="35" s="1"/>
  <c r="B151" i="35"/>
  <c r="B70" i="13"/>
  <c r="F70" i="13"/>
  <c r="G70" i="13" s="1"/>
  <c r="F72" i="28"/>
  <c r="H72" i="28" s="1"/>
  <c r="B72" i="28"/>
  <c r="G71" i="22"/>
  <c r="I71" i="22" s="1"/>
  <c r="B72" i="23"/>
  <c r="F72" i="23"/>
  <c r="G72" i="23" s="1"/>
  <c r="F68" i="35"/>
  <c r="G68" i="35" s="1"/>
  <c r="B68" i="35"/>
  <c r="F69" i="29"/>
  <c r="G69" i="29" s="1"/>
  <c r="E70" i="25"/>
  <c r="F70" i="25" s="1"/>
  <c r="I149" i="37"/>
  <c r="H149" i="37"/>
  <c r="E150" i="37"/>
  <c r="F150" i="37" s="1"/>
  <c r="B150" i="37"/>
  <c r="B151" i="31"/>
  <c r="H150" i="31"/>
  <c r="I150" i="31"/>
  <c r="E151" i="31"/>
  <c r="F151" i="31" s="1"/>
  <c r="J153" i="24"/>
  <c r="G150" i="34"/>
  <c r="D151" i="34"/>
  <c r="E151" i="34" s="1"/>
  <c r="D155" i="21"/>
  <c r="E155" i="21" s="1"/>
  <c r="E156" i="21" s="1"/>
  <c r="G154" i="21"/>
  <c r="J153" i="27"/>
  <c r="G154" i="25"/>
  <c r="D155" i="25"/>
  <c r="E155" i="25" s="1"/>
  <c r="E156" i="25" s="1"/>
  <c r="D155" i="27"/>
  <c r="E155" i="27" s="1"/>
  <c r="E156" i="27" s="1"/>
  <c r="G154" i="27"/>
  <c r="D151" i="38"/>
  <c r="E151" i="38" s="1"/>
  <c r="G150" i="38"/>
  <c r="J153" i="21"/>
  <c r="G154" i="24"/>
  <c r="D155" i="24"/>
  <c r="E155" i="24" s="1"/>
  <c r="E156" i="24" s="1"/>
  <c r="G151" i="13"/>
  <c r="D152" i="13"/>
  <c r="J155" i="28"/>
  <c r="J156" i="28" s="1"/>
  <c r="I156" i="28"/>
  <c r="B154" i="22"/>
  <c r="F154" i="22"/>
  <c r="I150" i="20"/>
  <c r="H150" i="20"/>
  <c r="I153" i="22"/>
  <c r="H153" i="22"/>
  <c r="B151" i="20"/>
  <c r="E151" i="20"/>
  <c r="F151" i="20" s="1"/>
  <c r="D155" i="26" l="1"/>
  <c r="G154" i="26"/>
  <c r="J153" i="26"/>
  <c r="J150" i="31"/>
  <c r="G67" i="37"/>
  <c r="I67" i="37" s="1"/>
  <c r="H68" i="35"/>
  <c r="I68" i="35" s="1"/>
  <c r="H69" i="29"/>
  <c r="I69" i="29" s="1"/>
  <c r="H68" i="34"/>
  <c r="I68" i="34" s="1"/>
  <c r="H70" i="13"/>
  <c r="I70" i="13" s="1"/>
  <c r="H72" i="27"/>
  <c r="I72" i="27" s="1"/>
  <c r="D71" i="25"/>
  <c r="E71" i="25" s="1"/>
  <c r="H70" i="25"/>
  <c r="G70" i="25"/>
  <c r="D67" i="38"/>
  <c r="E67" i="38" s="1"/>
  <c r="D152" i="35"/>
  <c r="G151" i="35"/>
  <c r="D69" i="31"/>
  <c r="E69" i="31" s="1"/>
  <c r="G66" i="38"/>
  <c r="D69" i="35"/>
  <c r="E69" i="35" s="1"/>
  <c r="D73" i="28"/>
  <c r="E73" i="28" s="1"/>
  <c r="E74" i="28" s="1"/>
  <c r="D68" i="37"/>
  <c r="E68" i="37" s="1"/>
  <c r="G72" i="28"/>
  <c r="I72" i="28" s="1"/>
  <c r="D72" i="26"/>
  <c r="E72" i="26" s="1"/>
  <c r="D73" i="23"/>
  <c r="F72" i="22"/>
  <c r="G72" i="22" s="1"/>
  <c r="B72" i="22"/>
  <c r="D70" i="29"/>
  <c r="E70" i="29" s="1"/>
  <c r="D71" i="13"/>
  <c r="E71" i="13" s="1"/>
  <c r="H71" i="26"/>
  <c r="I71" i="26" s="1"/>
  <c r="D73" i="27"/>
  <c r="E73" i="27" s="1"/>
  <c r="E74" i="27" s="1"/>
  <c r="H72" i="23"/>
  <c r="I72" i="23" s="1"/>
  <c r="F73" i="21"/>
  <c r="H73" i="21" s="1"/>
  <c r="B73" i="21"/>
  <c r="D69" i="34"/>
  <c r="E69" i="34" s="1"/>
  <c r="H66" i="38"/>
  <c r="G68" i="31"/>
  <c r="I68" i="31" s="1"/>
  <c r="D151" i="37"/>
  <c r="G150" i="37"/>
  <c r="D152" i="31"/>
  <c r="E152" i="31" s="1"/>
  <c r="G151" i="31"/>
  <c r="H150" i="38"/>
  <c r="I150" i="38"/>
  <c r="I154" i="24"/>
  <c r="H154" i="24"/>
  <c r="I154" i="25"/>
  <c r="H154" i="25"/>
  <c r="H154" i="21"/>
  <c r="I154" i="21"/>
  <c r="F155" i="24"/>
  <c r="G155" i="24" s="1"/>
  <c r="B155" i="24"/>
  <c r="F155" i="21"/>
  <c r="G155" i="21" s="1"/>
  <c r="B155" i="21"/>
  <c r="F151" i="38"/>
  <c r="B151" i="38"/>
  <c r="H151" i="13"/>
  <c r="I151" i="13"/>
  <c r="H154" i="27"/>
  <c r="I154" i="27"/>
  <c r="F151" i="34"/>
  <c r="B151" i="34"/>
  <c r="B155" i="25"/>
  <c r="F155" i="25"/>
  <c r="G155" i="25" s="1"/>
  <c r="B152" i="13"/>
  <c r="E152" i="13"/>
  <c r="F152" i="13" s="1"/>
  <c r="F155" i="27"/>
  <c r="G155" i="27" s="1"/>
  <c r="B155" i="27"/>
  <c r="H150" i="34"/>
  <c r="I150" i="34"/>
  <c r="G151" i="20"/>
  <c r="D152" i="20"/>
  <c r="D155" i="22"/>
  <c r="E155" i="22" s="1"/>
  <c r="E156" i="22" s="1"/>
  <c r="G154" i="22"/>
  <c r="J153" i="22"/>
  <c r="J150" i="20"/>
  <c r="I154" i="26" l="1"/>
  <c r="H154" i="26"/>
  <c r="E155" i="26"/>
  <c r="E156" i="26" s="1"/>
  <c r="B155" i="26"/>
  <c r="J154" i="21"/>
  <c r="I66" i="38"/>
  <c r="H72" i="22"/>
  <c r="I72" i="22" s="1"/>
  <c r="H74" i="21"/>
  <c r="G73" i="21"/>
  <c r="G74" i="21" s="1"/>
  <c r="F69" i="35"/>
  <c r="H69" i="35" s="1"/>
  <c r="B69" i="35"/>
  <c r="F70" i="29"/>
  <c r="B72" i="26"/>
  <c r="F72" i="26"/>
  <c r="G72" i="26" s="1"/>
  <c r="B67" i="38"/>
  <c r="F67" i="38"/>
  <c r="B73" i="27"/>
  <c r="F73" i="27"/>
  <c r="H73" i="27" s="1"/>
  <c r="B68" i="37"/>
  <c r="F68" i="37"/>
  <c r="G68" i="37" s="1"/>
  <c r="F69" i="31"/>
  <c r="H69" i="31" s="1"/>
  <c r="B69" i="31"/>
  <c r="I70" i="25"/>
  <c r="B73" i="23"/>
  <c r="B69" i="34"/>
  <c r="F69" i="34"/>
  <c r="H69" i="34" s="1"/>
  <c r="D73" i="22"/>
  <c r="H151" i="35"/>
  <c r="I151" i="35"/>
  <c r="F71" i="13"/>
  <c r="H71" i="13" s="1"/>
  <c r="B71" i="13"/>
  <c r="E73" i="23"/>
  <c r="E74" i="23" s="1"/>
  <c r="B73" i="28"/>
  <c r="F73" i="28"/>
  <c r="H73" i="28" s="1"/>
  <c r="E152" i="35"/>
  <c r="F152" i="35" s="1"/>
  <c r="B152" i="35"/>
  <c r="F71" i="25"/>
  <c r="H71" i="25" s="1"/>
  <c r="B71" i="25"/>
  <c r="I150" i="37"/>
  <c r="H150" i="37"/>
  <c r="E151" i="37"/>
  <c r="F151" i="37" s="1"/>
  <c r="B151" i="37"/>
  <c r="H151" i="31"/>
  <c r="I151" i="31"/>
  <c r="J151" i="31" s="1"/>
  <c r="B152" i="31"/>
  <c r="F152" i="31"/>
  <c r="J154" i="24"/>
  <c r="J154" i="27"/>
  <c r="G152" i="13"/>
  <c r="D153" i="13"/>
  <c r="E153" i="13" s="1"/>
  <c r="G151" i="34"/>
  <c r="D152" i="34"/>
  <c r="H155" i="25"/>
  <c r="H156" i="25" s="1"/>
  <c r="I155" i="25"/>
  <c r="I156" i="25" s="1"/>
  <c r="H155" i="27"/>
  <c r="H156" i="27" s="1"/>
  <c r="I155" i="27"/>
  <c r="G151" i="38"/>
  <c r="D152" i="38"/>
  <c r="E152" i="38" s="1"/>
  <c r="H155" i="21"/>
  <c r="H156" i="21" s="1"/>
  <c r="I155" i="21"/>
  <c r="I155" i="24"/>
  <c r="H155" i="24"/>
  <c r="H156" i="24" s="1"/>
  <c r="H154" i="22"/>
  <c r="I154" i="22"/>
  <c r="B152" i="20"/>
  <c r="F155" i="22"/>
  <c r="G155" i="22" s="1"/>
  <c r="B155" i="22"/>
  <c r="E152" i="20"/>
  <c r="F152" i="20" s="1"/>
  <c r="H151" i="20"/>
  <c r="I151" i="20"/>
  <c r="G69" i="31" l="1"/>
  <c r="I69" i="31" s="1"/>
  <c r="F155" i="26"/>
  <c r="G155" i="26" s="1"/>
  <c r="J154" i="26"/>
  <c r="J154" i="22"/>
  <c r="G71" i="13"/>
  <c r="I71" i="13" s="1"/>
  <c r="G69" i="34"/>
  <c r="I69" i="34" s="1"/>
  <c r="H68" i="37"/>
  <c r="I68" i="37" s="1"/>
  <c r="G73" i="28"/>
  <c r="G74" i="28" s="1"/>
  <c r="H74" i="27"/>
  <c r="H74" i="28"/>
  <c r="D68" i="38"/>
  <c r="E68" i="38" s="1"/>
  <c r="G152" i="35"/>
  <c r="D153" i="35"/>
  <c r="D72" i="13"/>
  <c r="D70" i="34"/>
  <c r="E70" i="34" s="1"/>
  <c r="G73" i="27"/>
  <c r="G74" i="27" s="1"/>
  <c r="D73" i="26"/>
  <c r="E73" i="26" s="1"/>
  <c r="E74" i="26" s="1"/>
  <c r="D70" i="35"/>
  <c r="E70" i="35" s="1"/>
  <c r="G69" i="35"/>
  <c r="I69" i="35" s="1"/>
  <c r="B73" i="22"/>
  <c r="D71" i="29"/>
  <c r="E71" i="29" s="1"/>
  <c r="D70" i="31"/>
  <c r="E70" i="31" s="1"/>
  <c r="H72" i="26"/>
  <c r="I72" i="26" s="1"/>
  <c r="D69" i="37"/>
  <c r="H67" i="38"/>
  <c r="H70" i="29"/>
  <c r="D72" i="25"/>
  <c r="E72" i="25" s="1"/>
  <c r="G71" i="25"/>
  <c r="I71" i="25" s="1"/>
  <c r="E73" i="22"/>
  <c r="E74" i="22" s="1"/>
  <c r="F73" i="23"/>
  <c r="G67" i="38"/>
  <c r="G70" i="29"/>
  <c r="I73" i="21"/>
  <c r="I74" i="21" s="1"/>
  <c r="G151" i="37"/>
  <c r="D152" i="37"/>
  <c r="D153" i="31"/>
  <c r="B153" i="31" s="1"/>
  <c r="G152" i="31"/>
  <c r="B152" i="34"/>
  <c r="J155" i="21"/>
  <c r="J156" i="21" s="1"/>
  <c r="I156" i="21"/>
  <c r="J155" i="27"/>
  <c r="J156" i="27" s="1"/>
  <c r="I156" i="27"/>
  <c r="I151" i="34"/>
  <c r="H151" i="34"/>
  <c r="J155" i="24"/>
  <c r="J156" i="24" s="1"/>
  <c r="I156" i="24"/>
  <c r="B152" i="38"/>
  <c r="F152" i="38"/>
  <c r="H151" i="38"/>
  <c r="I151" i="38"/>
  <c r="B153" i="13"/>
  <c r="F153" i="13"/>
  <c r="E152" i="34"/>
  <c r="F152" i="34" s="1"/>
  <c r="H152" i="13"/>
  <c r="I152" i="13"/>
  <c r="G152" i="20"/>
  <c r="D153" i="20"/>
  <c r="I155" i="22"/>
  <c r="H155" i="22"/>
  <c r="H156" i="22" s="1"/>
  <c r="J151" i="20"/>
  <c r="I73" i="28" l="1"/>
  <c r="I74" i="28" s="1"/>
  <c r="H155" i="26"/>
  <c r="H156" i="26" s="1"/>
  <c r="I155" i="26"/>
  <c r="E153" i="31"/>
  <c r="F153" i="31" s="1"/>
  <c r="G153" i="31" s="1"/>
  <c r="I153" i="31" s="1"/>
  <c r="I70" i="29"/>
  <c r="B70" i="34"/>
  <c r="F70" i="34"/>
  <c r="F68" i="38"/>
  <c r="G68" i="38" s="1"/>
  <c r="B68" i="38"/>
  <c r="B69" i="37"/>
  <c r="B70" i="31"/>
  <c r="F70" i="31"/>
  <c r="H70" i="31" s="1"/>
  <c r="B72" i="25"/>
  <c r="F72" i="25"/>
  <c r="H72" i="25" s="1"/>
  <c r="E72" i="13"/>
  <c r="F72" i="13" s="1"/>
  <c r="F71" i="29"/>
  <c r="H71" i="29" s="1"/>
  <c r="B70" i="35"/>
  <c r="F70" i="35"/>
  <c r="G73" i="23"/>
  <c r="G74" i="23" s="1"/>
  <c r="H73" i="23"/>
  <c r="I152" i="35"/>
  <c r="H152" i="35"/>
  <c r="I67" i="38"/>
  <c r="F73" i="22"/>
  <c r="E69" i="37"/>
  <c r="F69" i="37" s="1"/>
  <c r="B73" i="26"/>
  <c r="F73" i="26"/>
  <c r="H73" i="26" s="1"/>
  <c r="E153" i="35"/>
  <c r="F153" i="35" s="1"/>
  <c r="B153" i="35"/>
  <c r="I73" i="27"/>
  <c r="I74" i="27" s="1"/>
  <c r="E152" i="37"/>
  <c r="F152" i="37" s="1"/>
  <c r="B152" i="37"/>
  <c r="H151" i="37"/>
  <c r="I151" i="37"/>
  <c r="I152" i="31"/>
  <c r="H152" i="31"/>
  <c r="G152" i="34"/>
  <c r="D153" i="34"/>
  <c r="E153" i="34" s="1"/>
  <c r="D154" i="13"/>
  <c r="E154" i="13" s="1"/>
  <c r="G153" i="13"/>
  <c r="G152" i="38"/>
  <c r="D153" i="38"/>
  <c r="E153" i="38" s="1"/>
  <c r="J155" i="22"/>
  <c r="J156" i="22" s="1"/>
  <c r="I156" i="22"/>
  <c r="H152" i="20"/>
  <c r="I152" i="20"/>
  <c r="B153" i="20"/>
  <c r="E153" i="20"/>
  <c r="F153" i="20" s="1"/>
  <c r="G73" i="26" l="1"/>
  <c r="G74" i="26" s="1"/>
  <c r="H153" i="31"/>
  <c r="J153" i="31" s="1"/>
  <c r="D154" i="31"/>
  <c r="E154" i="31" s="1"/>
  <c r="I156" i="26"/>
  <c r="J155" i="26"/>
  <c r="J156" i="26" s="1"/>
  <c r="G71" i="29"/>
  <c r="I71" i="29" s="1"/>
  <c r="H68" i="38"/>
  <c r="I68" i="38" s="1"/>
  <c r="D73" i="13"/>
  <c r="G72" i="13"/>
  <c r="H72" i="13"/>
  <c r="D70" i="37"/>
  <c r="E70" i="37" s="1"/>
  <c r="H69" i="37"/>
  <c r="G69" i="37"/>
  <c r="D71" i="31"/>
  <c r="E71" i="31" s="1"/>
  <c r="D71" i="35"/>
  <c r="E71" i="35" s="1"/>
  <c r="D73" i="25"/>
  <c r="E73" i="25" s="1"/>
  <c r="E74" i="25" s="1"/>
  <c r="H73" i="22"/>
  <c r="G73" i="22"/>
  <c r="G74" i="22" s="1"/>
  <c r="H70" i="35"/>
  <c r="G72" i="25"/>
  <c r="I72" i="25" s="1"/>
  <c r="G70" i="31"/>
  <c r="I70" i="31" s="1"/>
  <c r="D69" i="38"/>
  <c r="E69" i="38" s="1"/>
  <c r="G70" i="35"/>
  <c r="D71" i="34"/>
  <c r="E71" i="34" s="1"/>
  <c r="H74" i="26"/>
  <c r="H70" i="34"/>
  <c r="D154" i="35"/>
  <c r="G153" i="35"/>
  <c r="D72" i="29"/>
  <c r="E72" i="29" s="1"/>
  <c r="G70" i="34"/>
  <c r="I73" i="23"/>
  <c r="I74" i="23" s="1"/>
  <c r="H74" i="23"/>
  <c r="G152" i="37"/>
  <c r="D153" i="37"/>
  <c r="J152" i="31"/>
  <c r="H152" i="38"/>
  <c r="I152" i="38"/>
  <c r="H153" i="13"/>
  <c r="I153" i="13"/>
  <c r="B154" i="13"/>
  <c r="F154" i="13"/>
  <c r="J152" i="20"/>
  <c r="F153" i="34"/>
  <c r="B153" i="34"/>
  <c r="F153" i="38"/>
  <c r="B153" i="38"/>
  <c r="H152" i="34"/>
  <c r="I152" i="34"/>
  <c r="D154" i="20"/>
  <c r="G153" i="20"/>
  <c r="I73" i="26" l="1"/>
  <c r="I74" i="26" s="1"/>
  <c r="B154" i="31"/>
  <c r="F154" i="31"/>
  <c r="G154" i="31" s="1"/>
  <c r="H154" i="31" s="1"/>
  <c r="I70" i="34"/>
  <c r="I70" i="35"/>
  <c r="I72" i="13"/>
  <c r="F69" i="38"/>
  <c r="G69" i="38" s="1"/>
  <c r="B69" i="38"/>
  <c r="F73" i="25"/>
  <c r="G73" i="25" s="1"/>
  <c r="G74" i="25" s="1"/>
  <c r="B73" i="25"/>
  <c r="I69" i="37"/>
  <c r="B70" i="37"/>
  <c r="F70" i="37"/>
  <c r="G70" i="37" s="1"/>
  <c r="B71" i="35"/>
  <c r="F71" i="35"/>
  <c r="H71" i="35" s="1"/>
  <c r="F72" i="29"/>
  <c r="B71" i="34"/>
  <c r="F71" i="34"/>
  <c r="H71" i="34" s="1"/>
  <c r="I153" i="35"/>
  <c r="H153" i="35"/>
  <c r="I73" i="22"/>
  <c r="I74" i="22" s="1"/>
  <c r="H74" i="22"/>
  <c r="F71" i="31"/>
  <c r="G71" i="31" s="1"/>
  <c r="B71" i="31"/>
  <c r="B73" i="13"/>
  <c r="E154" i="35"/>
  <c r="F154" i="35" s="1"/>
  <c r="B154" i="35"/>
  <c r="E73" i="13"/>
  <c r="E74" i="13" s="1"/>
  <c r="E153" i="37"/>
  <c r="F153" i="37" s="1"/>
  <c r="B153" i="37"/>
  <c r="H152" i="37"/>
  <c r="I152" i="37"/>
  <c r="G153" i="38"/>
  <c r="D154" i="38"/>
  <c r="E154" i="38" s="1"/>
  <c r="D155" i="13"/>
  <c r="G154" i="13"/>
  <c r="D154" i="34"/>
  <c r="E154" i="34" s="1"/>
  <c r="G153" i="34"/>
  <c r="B154" i="20"/>
  <c r="H153" i="20"/>
  <c r="I153" i="20"/>
  <c r="E154" i="20"/>
  <c r="F154" i="20" s="1"/>
  <c r="I154" i="31" l="1"/>
  <c r="J154" i="31" s="1"/>
  <c r="D155" i="31"/>
  <c r="E155" i="31" s="1"/>
  <c r="E156" i="31" s="1"/>
  <c r="H71" i="31"/>
  <c r="I71" i="31" s="1"/>
  <c r="G71" i="34"/>
  <c r="I71" i="34" s="1"/>
  <c r="D72" i="35"/>
  <c r="E72" i="35" s="1"/>
  <c r="D72" i="34"/>
  <c r="E72" i="34" s="1"/>
  <c r="H73" i="25"/>
  <c r="D72" i="31"/>
  <c r="E72" i="31" s="1"/>
  <c r="D73" i="29"/>
  <c r="E73" i="29" s="1"/>
  <c r="E74" i="29" s="1"/>
  <c r="D71" i="37"/>
  <c r="E71" i="37" s="1"/>
  <c r="G72" i="29"/>
  <c r="H70" i="37"/>
  <c r="I70" i="37" s="1"/>
  <c r="D155" i="35"/>
  <c r="G154" i="35"/>
  <c r="F73" i="13"/>
  <c r="H72" i="29"/>
  <c r="D70" i="38"/>
  <c r="E70" i="38" s="1"/>
  <c r="G71" i="35"/>
  <c r="I71" i="35" s="1"/>
  <c r="H69" i="38"/>
  <c r="I69" i="38" s="1"/>
  <c r="G153" i="37"/>
  <c r="D154" i="37"/>
  <c r="B154" i="37" s="1"/>
  <c r="B155" i="13"/>
  <c r="H154" i="13"/>
  <c r="I154" i="13"/>
  <c r="H153" i="34"/>
  <c r="I153" i="34"/>
  <c r="F154" i="38"/>
  <c r="B154" i="38"/>
  <c r="B154" i="34"/>
  <c r="F154" i="34"/>
  <c r="H153" i="38"/>
  <c r="I153" i="38"/>
  <c r="J153" i="20"/>
  <c r="E155" i="13"/>
  <c r="E156" i="13" s="1"/>
  <c r="D155" i="20"/>
  <c r="E155" i="20" s="1"/>
  <c r="E156" i="20" s="1"/>
  <c r="G154" i="20"/>
  <c r="F155" i="31" l="1"/>
  <c r="G155" i="31" s="1"/>
  <c r="B155" i="31"/>
  <c r="E154" i="37"/>
  <c r="F154" i="37" s="1"/>
  <c r="I73" i="25"/>
  <c r="I74" i="25" s="1"/>
  <c r="H74" i="25"/>
  <c r="F72" i="34"/>
  <c r="G72" i="34" s="1"/>
  <c r="B70" i="38"/>
  <c r="F70" i="38"/>
  <c r="F71" i="37"/>
  <c r="G71" i="37" s="1"/>
  <c r="B71" i="37"/>
  <c r="I72" i="29"/>
  <c r="H73" i="13"/>
  <c r="G73" i="13"/>
  <c r="G74" i="13" s="1"/>
  <c r="F73" i="29"/>
  <c r="G73" i="29" s="1"/>
  <c r="G74" i="29" s="1"/>
  <c r="F72" i="35"/>
  <c r="H72" i="35" s="1"/>
  <c r="H154" i="35"/>
  <c r="I154" i="35"/>
  <c r="E155" i="35"/>
  <c r="E156" i="35" s="1"/>
  <c r="B155" i="35"/>
  <c r="F72" i="31"/>
  <c r="G72" i="31" s="1"/>
  <c r="B72" i="31"/>
  <c r="I153" i="37"/>
  <c r="H153" i="37"/>
  <c r="D155" i="34"/>
  <c r="E155" i="34" s="1"/>
  <c r="E156" i="34" s="1"/>
  <c r="G154" i="34"/>
  <c r="I155" i="31"/>
  <c r="H155" i="31"/>
  <c r="H156" i="31" s="1"/>
  <c r="G154" i="38"/>
  <c r="D155" i="38"/>
  <c r="E155" i="38" s="1"/>
  <c r="E156" i="38" s="1"/>
  <c r="F155" i="13"/>
  <c r="G155" i="13" s="1"/>
  <c r="I154" i="20"/>
  <c r="H154" i="20"/>
  <c r="B155" i="20"/>
  <c r="F155" i="20"/>
  <c r="G155" i="20" s="1"/>
  <c r="H72" i="34" l="1"/>
  <c r="I72" i="34" s="1"/>
  <c r="F155" i="35"/>
  <c r="G155" i="35" s="1"/>
  <c r="H155" i="35" s="1"/>
  <c r="H156" i="35" s="1"/>
  <c r="D155" i="37"/>
  <c r="G154" i="37"/>
  <c r="H72" i="31"/>
  <c r="H73" i="29"/>
  <c r="I73" i="29" s="1"/>
  <c r="I74" i="29" s="1"/>
  <c r="H71" i="37"/>
  <c r="I71" i="37" s="1"/>
  <c r="D71" i="38"/>
  <c r="E71" i="38" s="1"/>
  <c r="I72" i="31"/>
  <c r="G70" i="38"/>
  <c r="D73" i="35"/>
  <c r="E73" i="35" s="1"/>
  <c r="E74" i="35" s="1"/>
  <c r="D73" i="31"/>
  <c r="G72" i="35"/>
  <c r="I72" i="35" s="1"/>
  <c r="H74" i="29"/>
  <c r="D73" i="34"/>
  <c r="E73" i="34" s="1"/>
  <c r="E74" i="34" s="1"/>
  <c r="D72" i="37"/>
  <c r="E72" i="37" s="1"/>
  <c r="I73" i="13"/>
  <c r="I74" i="13" s="1"/>
  <c r="H74" i="13"/>
  <c r="H70" i="38"/>
  <c r="B155" i="38"/>
  <c r="F155" i="38"/>
  <c r="G155" i="38" s="1"/>
  <c r="H154" i="38"/>
  <c r="I154" i="38"/>
  <c r="J155" i="31"/>
  <c r="J156" i="31" s="1"/>
  <c r="I156" i="31"/>
  <c r="H154" i="34"/>
  <c r="I154" i="34"/>
  <c r="H155" i="13"/>
  <c r="H156" i="13" s="1"/>
  <c r="I155" i="13"/>
  <c r="I156" i="13" s="1"/>
  <c r="B155" i="34"/>
  <c r="F155" i="34"/>
  <c r="G155" i="34" s="1"/>
  <c r="H155" i="20"/>
  <c r="H156" i="20" s="1"/>
  <c r="I155" i="20"/>
  <c r="J154" i="20"/>
  <c r="I155" i="35" l="1"/>
  <c r="I156" i="35" s="1"/>
  <c r="I70" i="38"/>
  <c r="H154" i="37"/>
  <c r="I154" i="37"/>
  <c r="E155" i="37"/>
  <c r="B155" i="37"/>
  <c r="B73" i="31"/>
  <c r="F73" i="35"/>
  <c r="H73" i="35" s="1"/>
  <c r="B73" i="35"/>
  <c r="B73" i="34"/>
  <c r="F73" i="34"/>
  <c r="H73" i="34" s="1"/>
  <c r="F72" i="37"/>
  <c r="H72" i="37" s="1"/>
  <c r="F71" i="38"/>
  <c r="G71" i="38" s="1"/>
  <c r="B71" i="38"/>
  <c r="E73" i="31"/>
  <c r="E74" i="31" s="1"/>
  <c r="I155" i="34"/>
  <c r="I156" i="34" s="1"/>
  <c r="H155" i="34"/>
  <c r="H156" i="34" s="1"/>
  <c r="H155" i="38"/>
  <c r="H156" i="38" s="1"/>
  <c r="I155" i="38"/>
  <c r="I156" i="38" s="1"/>
  <c r="J155" i="20"/>
  <c r="J156" i="20" s="1"/>
  <c r="I156" i="20"/>
  <c r="G73" i="35" l="1"/>
  <c r="G74" i="35" s="1"/>
  <c r="G73" i="34"/>
  <c r="G74" i="34" s="1"/>
  <c r="E156" i="37"/>
  <c r="F155" i="37"/>
  <c r="G155" i="37" s="1"/>
  <c r="H71" i="38"/>
  <c r="I73" i="34"/>
  <c r="I74" i="34" s="1"/>
  <c r="H74" i="34"/>
  <c r="I73" i="35"/>
  <c r="I74" i="35" s="1"/>
  <c r="H74" i="35"/>
  <c r="D73" i="37"/>
  <c r="F73" i="31"/>
  <c r="G72" i="37"/>
  <c r="I72" i="37" s="1"/>
  <c r="I71" i="38"/>
  <c r="D72" i="38"/>
  <c r="E72" i="38" s="1"/>
  <c r="H155" i="37" l="1"/>
  <c r="H156" i="37" s="1"/>
  <c r="I155" i="37"/>
  <c r="I156" i="37" s="1"/>
  <c r="H73" i="31"/>
  <c r="G73" i="31"/>
  <c r="G74" i="31" s="1"/>
  <c r="B73" i="37"/>
  <c r="E73" i="37"/>
  <c r="E74" i="37" s="1"/>
  <c r="F72" i="38"/>
  <c r="G72" i="38" s="1"/>
  <c r="H72" i="38" l="1"/>
  <c r="I72" i="38" s="1"/>
  <c r="F73" i="37"/>
  <c r="D73" i="38"/>
  <c r="I73" i="31"/>
  <c r="I74" i="31" s="1"/>
  <c r="H74" i="31"/>
  <c r="B73" i="38" l="1"/>
  <c r="E73" i="38"/>
  <c r="E74" i="38" s="1"/>
  <c r="G73" i="37"/>
  <c r="G74" i="37" s="1"/>
  <c r="H73" i="37"/>
  <c r="I73" i="37" l="1"/>
  <c r="I74" i="37" s="1"/>
  <c r="H74" i="37"/>
  <c r="F73" i="38"/>
  <c r="G73" i="38" l="1"/>
  <c r="G74" i="38" s="1"/>
  <c r="H73" i="38"/>
  <c r="I73" i="38" l="1"/>
  <c r="I74" i="38" s="1"/>
  <c r="H74" i="38"/>
  <c r="J93" i="3" l="1"/>
  <c r="M89" i="3" s="1"/>
  <c r="L87" i="3" l="1"/>
  <c r="N89" i="3"/>
  <c r="N88" i="3"/>
  <c r="M88" i="3"/>
  <c r="J93" i="38"/>
  <c r="N88" i="38" s="1"/>
  <c r="J93" i="24"/>
  <c r="J93" i="13"/>
  <c r="M19" i="2"/>
  <c r="A4" i="2"/>
  <c r="J93" i="18"/>
  <c r="J93" i="19"/>
  <c r="J93" i="23"/>
  <c r="J93" i="25"/>
  <c r="J93" i="27"/>
  <c r="J93" i="26"/>
  <c r="J93" i="28"/>
  <c r="J93" i="35"/>
  <c r="J93" i="34"/>
  <c r="J93" i="37"/>
  <c r="J93" i="20"/>
  <c r="J93" i="31"/>
  <c r="J93" i="29"/>
  <c r="J93" i="22"/>
  <c r="J93" i="21"/>
  <c r="J93" i="4"/>
  <c r="M90" i="3" l="1"/>
  <c r="L87" i="4"/>
  <c r="N89" i="4"/>
  <c r="N88" i="4"/>
  <c r="M88" i="4"/>
  <c r="M89" i="4"/>
  <c r="M88" i="31"/>
  <c r="L87" i="31"/>
  <c r="N89" i="31"/>
  <c r="N88" i="31"/>
  <c r="M89" i="31"/>
  <c r="M88" i="20"/>
  <c r="L87" i="20"/>
  <c r="N88" i="20"/>
  <c r="N89" i="20"/>
  <c r="M89" i="20"/>
  <c r="N88" i="23"/>
  <c r="N89" i="23"/>
  <c r="M88" i="23"/>
  <c r="L87" i="23"/>
  <c r="M89" i="23"/>
  <c r="N89" i="22"/>
  <c r="N88" i="22"/>
  <c r="L87" i="22"/>
  <c r="M88" i="22"/>
  <c r="M89" i="22"/>
  <c r="N88" i="26"/>
  <c r="M88" i="26"/>
  <c r="L87" i="26"/>
  <c r="N89" i="26"/>
  <c r="M89" i="26"/>
  <c r="L87" i="13"/>
  <c r="N88" i="13"/>
  <c r="M89" i="13"/>
  <c r="N89" i="13"/>
  <c r="M88" i="13"/>
  <c r="O88" i="3"/>
  <c r="M88" i="35"/>
  <c r="L87" i="35"/>
  <c r="N88" i="35"/>
  <c r="N89" i="35"/>
  <c r="M89" i="35"/>
  <c r="N88" i="21"/>
  <c r="N89" i="21"/>
  <c r="L87" i="21"/>
  <c r="M88" i="21"/>
  <c r="M89" i="21"/>
  <c r="N89" i="28"/>
  <c r="N88" i="28"/>
  <c r="L87" i="28"/>
  <c r="M88" i="28"/>
  <c r="M89" i="28"/>
  <c r="M88" i="37"/>
  <c r="L87" i="37"/>
  <c r="N89" i="37"/>
  <c r="N88" i="37"/>
  <c r="M89" i="37"/>
  <c r="M88" i="19"/>
  <c r="N88" i="19"/>
  <c r="L87" i="19"/>
  <c r="N89" i="19"/>
  <c r="M89" i="19"/>
  <c r="M88" i="29"/>
  <c r="N88" i="29"/>
  <c r="L87" i="29"/>
  <c r="N89" i="29"/>
  <c r="M89" i="29"/>
  <c r="N88" i="34"/>
  <c r="N89" i="34"/>
  <c r="L87" i="34"/>
  <c r="M88" i="34"/>
  <c r="M89" i="34"/>
  <c r="L87" i="27"/>
  <c r="M88" i="27"/>
  <c r="N89" i="27"/>
  <c r="N88" i="27"/>
  <c r="M89" i="27"/>
  <c r="L87" i="18"/>
  <c r="N89" i="18"/>
  <c r="M88" i="18"/>
  <c r="N88" i="18"/>
  <c r="M89" i="18"/>
  <c r="N88" i="24"/>
  <c r="N89" i="24"/>
  <c r="M89" i="24"/>
  <c r="L87" i="24"/>
  <c r="M88" i="24"/>
  <c r="N90" i="3"/>
  <c r="O89" i="3"/>
  <c r="O90" i="3" s="1"/>
  <c r="N88" i="25"/>
  <c r="N89" i="25"/>
  <c r="L87" i="25"/>
  <c r="M88" i="25"/>
  <c r="M89" i="25"/>
  <c r="M88" i="38"/>
  <c r="O88" i="38" s="1"/>
  <c r="M89" i="38"/>
  <c r="L87" i="38"/>
  <c r="N89" i="38"/>
  <c r="I18" i="17"/>
  <c r="M90" i="20" l="1"/>
  <c r="M90" i="23"/>
  <c r="M90" i="35"/>
  <c r="M90" i="31"/>
  <c r="M90" i="29"/>
  <c r="O17" i="2"/>
  <c r="N17" i="2"/>
  <c r="R132" i="2" s="1"/>
  <c r="M90" i="19"/>
  <c r="O88" i="35"/>
  <c r="O88" i="27"/>
  <c r="O88" i="19"/>
  <c r="M90" i="38"/>
  <c r="M90" i="34"/>
  <c r="O88" i="34"/>
  <c r="O88" i="29"/>
  <c r="M90" i="28"/>
  <c r="M90" i="37"/>
  <c r="O88" i="31"/>
  <c r="O88" i="37"/>
  <c r="O88" i="4"/>
  <c r="M90" i="22"/>
  <c r="O88" i="22"/>
  <c r="M90" i="25"/>
  <c r="M90" i="27"/>
  <c r="M90" i="26"/>
  <c r="O88" i="26"/>
  <c r="O88" i="25"/>
  <c r="M90" i="13"/>
  <c r="O88" i="20"/>
  <c r="O88" i="18"/>
  <c r="O88" i="28"/>
  <c r="O88" i="13"/>
  <c r="O89" i="25"/>
  <c r="N90" i="25"/>
  <c r="O89" i="24"/>
  <c r="N90" i="24"/>
  <c r="O89" i="28"/>
  <c r="N90" i="28"/>
  <c r="N90" i="21"/>
  <c r="O89" i="21"/>
  <c r="N90" i="23"/>
  <c r="O89" i="23"/>
  <c r="M90" i="4"/>
  <c r="N18" i="2"/>
  <c r="O88" i="24"/>
  <c r="N90" i="18"/>
  <c r="O89" i="18"/>
  <c r="N90" i="27"/>
  <c r="O89" i="27"/>
  <c r="N90" i="37"/>
  <c r="O89" i="37"/>
  <c r="M90" i="21"/>
  <c r="O88" i="21"/>
  <c r="O88" i="23"/>
  <c r="N90" i="31"/>
  <c r="O89" i="31"/>
  <c r="O89" i="38"/>
  <c r="O90" i="38" s="1"/>
  <c r="N90" i="38"/>
  <c r="M90" i="18"/>
  <c r="N90" i="29"/>
  <c r="O89" i="29"/>
  <c r="O89" i="13"/>
  <c r="N90" i="13"/>
  <c r="O18" i="2"/>
  <c r="M90" i="24"/>
  <c r="O89" i="34"/>
  <c r="O90" i="34" s="1"/>
  <c r="N90" i="34"/>
  <c r="O89" i="19"/>
  <c r="N90" i="19"/>
  <c r="N90" i="35"/>
  <c r="O89" i="35"/>
  <c r="O89" i="26"/>
  <c r="N90" i="26"/>
  <c r="N90" i="22"/>
  <c r="O89" i="22"/>
  <c r="O89" i="20"/>
  <c r="N90" i="20"/>
  <c r="O89" i="4"/>
  <c r="N90" i="4"/>
  <c r="I32" i="17"/>
  <c r="I22" i="17"/>
  <c r="I19" i="17"/>
  <c r="I34" i="17"/>
  <c r="I36" i="17"/>
  <c r="I23" i="17"/>
  <c r="I24" i="17"/>
  <c r="I29" i="17"/>
  <c r="I30" i="17"/>
  <c r="I31" i="17"/>
  <c r="I27" i="17"/>
  <c r="I33" i="17"/>
  <c r="I28" i="17"/>
  <c r="I25" i="17"/>
  <c r="I35" i="17"/>
  <c r="I21" i="17"/>
  <c r="I26" i="17"/>
  <c r="I20" i="17"/>
  <c r="O90" i="27" l="1"/>
  <c r="V22" i="17"/>
  <c r="O90" i="35"/>
  <c r="O90" i="31"/>
  <c r="O90" i="29"/>
  <c r="O90" i="4"/>
  <c r="N28" i="2"/>
  <c r="N29" i="2" s="1"/>
  <c r="O90" i="19"/>
  <c r="O90" i="22"/>
  <c r="O90" i="28"/>
  <c r="O90" i="25"/>
  <c r="O90" i="37"/>
  <c r="O90" i="20"/>
  <c r="O90" i="26"/>
  <c r="O90" i="18"/>
  <c r="O90" i="13"/>
  <c r="I38" i="17"/>
  <c r="O90" i="23"/>
  <c r="P18" i="2"/>
  <c r="R135" i="2"/>
  <c r="O19" i="2"/>
  <c r="O20" i="2" s="1"/>
  <c r="N19" i="2"/>
  <c r="N20" i="2" s="1"/>
  <c r="R134" i="2"/>
  <c r="O90" i="21"/>
  <c r="P17" i="2"/>
  <c r="R133" i="2"/>
  <c r="O90" i="24"/>
  <c r="P19" i="2" l="1"/>
  <c r="P20" i="2" s="1"/>
  <c r="F14" i="2" l="1"/>
  <c r="E19" i="2" s="1"/>
  <c r="F19" i="2" s="1"/>
  <c r="F20" i="2" s="1"/>
  <c r="E25" i="2" l="1"/>
  <c r="E26" i="2" s="1"/>
  <c r="E32" i="2"/>
  <c r="F53" i="2" l="1"/>
  <c r="E30" i="2"/>
  <c r="E33" i="2" s="1"/>
  <c r="E37" i="2" l="1"/>
  <c r="F54" i="2" s="1"/>
  <c r="F55" i="2" s="1"/>
  <c r="F62" i="2" s="1"/>
  <c r="F65" i="2" s="1"/>
  <c r="F67" i="2" s="1"/>
  <c r="F69" i="2" s="1"/>
  <c r="F70" i="2" s="1"/>
  <c r="F71" i="2" s="1"/>
  <c r="F56" i="2" s="1"/>
  <c r="F57" i="2" s="1"/>
  <c r="F76" i="2" l="1"/>
  <c r="F77" i="2" s="1"/>
  <c r="F59" i="2"/>
  <c r="F79" i="2" s="1"/>
  <c r="F80" i="2" s="1"/>
  <c r="F82" i="2" s="1"/>
  <c r="L35" i="17" l="1"/>
  <c r="V35" i="17" s="1"/>
  <c r="L18" i="17"/>
  <c r="L21" i="17"/>
  <c r="V21" i="17" s="1"/>
  <c r="L30" i="17" l="1"/>
  <c r="V30" i="17" s="1"/>
  <c r="L36" i="17"/>
  <c r="V36" i="17" s="1"/>
  <c r="L31" i="17"/>
  <c r="V31" i="17" s="1"/>
  <c r="L20" i="17"/>
  <c r="V20" i="17" s="1"/>
  <c r="L26" i="17"/>
  <c r="V26" i="17" s="1"/>
  <c r="L33" i="17"/>
  <c r="V33" i="17" s="1"/>
  <c r="L28" i="17"/>
  <c r="V28" i="17" s="1"/>
  <c r="L19" i="17"/>
  <c r="V19" i="17" s="1"/>
  <c r="L23" i="17"/>
  <c r="V23" i="17" s="1"/>
  <c r="L24" i="17"/>
  <c r="V24" i="17" s="1"/>
  <c r="L27" i="17"/>
  <c r="V27" i="17" s="1"/>
  <c r="L29" i="17"/>
  <c r="V29" i="17" s="1"/>
  <c r="L25" i="17"/>
  <c r="V25" i="17" s="1"/>
  <c r="L32" i="17"/>
  <c r="V32" i="17" s="1"/>
  <c r="L34" i="17"/>
  <c r="V34" i="17" s="1"/>
  <c r="V18" i="17"/>
  <c r="V38" i="17" l="1"/>
  <c r="L38" i="17"/>
  <c r="D25" i="17"/>
  <c r="D30" i="17"/>
  <c r="D34" i="17"/>
  <c r="D19" i="17"/>
  <c r="D24" i="17"/>
  <c r="D27" i="17"/>
  <c r="D33" i="17"/>
  <c r="D32" i="17"/>
  <c r="D31" i="17"/>
  <c r="D18" i="17"/>
  <c r="D23" i="17"/>
  <c r="D28" i="17"/>
  <c r="D26" i="17"/>
  <c r="D21" i="17"/>
  <c r="D20" i="17"/>
  <c r="D29" i="17"/>
  <c r="D35" i="17"/>
  <c r="D22" i="17"/>
  <c r="Q22" i="17" l="1"/>
  <c r="R22" i="17" s="1"/>
  <c r="T22" i="17" s="1"/>
  <c r="Q19" i="17"/>
  <c r="R19" i="17" s="1"/>
  <c r="T19" i="17" s="1"/>
  <c r="Q33" i="17"/>
  <c r="R33" i="17" s="1"/>
  <c r="T33" i="17" s="1"/>
  <c r="Q24" i="17"/>
  <c r="R24" i="17" s="1"/>
  <c r="T24" i="17" s="1"/>
  <c r="Q20" i="17"/>
  <c r="R20" i="17" s="1"/>
  <c r="T20" i="17" s="1"/>
  <c r="Q18" i="17"/>
  <c r="R18" i="17" s="1"/>
  <c r="Q28" i="17"/>
  <c r="R28" i="17" s="1"/>
  <c r="T28" i="17" s="1"/>
  <c r="Q36" i="17"/>
  <c r="R36" i="17" s="1"/>
  <c r="T36" i="17" s="1"/>
  <c r="Q32" i="17"/>
  <c r="R32" i="17" s="1"/>
  <c r="T32" i="17" s="1"/>
  <c r="Q34" i="17"/>
  <c r="R34" i="17" s="1"/>
  <c r="T34" i="17" s="1"/>
  <c r="Q35" i="17"/>
  <c r="R35" i="17" s="1"/>
  <c r="T35" i="17" s="1"/>
  <c r="Q23" i="17"/>
  <c r="R23" i="17" s="1"/>
  <c r="T23" i="17" s="1"/>
  <c r="Q30" i="17"/>
  <c r="R30" i="17" s="1"/>
  <c r="T30" i="17" s="1"/>
  <c r="Q31" i="17"/>
  <c r="R31" i="17" s="1"/>
  <c r="T31" i="17" s="1"/>
  <c r="Q29" i="17"/>
  <c r="R29" i="17" s="1"/>
  <c r="T29" i="17" s="1"/>
  <c r="Q21" i="17"/>
  <c r="R21" i="17" s="1"/>
  <c r="T21" i="17" s="1"/>
  <c r="Q25" i="17"/>
  <c r="R25" i="17" s="1"/>
  <c r="T25" i="17" s="1"/>
  <c r="Q26" i="17"/>
  <c r="R26" i="17" s="1"/>
  <c r="T26" i="17" s="1"/>
  <c r="Q27" i="17"/>
  <c r="R27" i="17" s="1"/>
  <c r="T27" i="17" s="1"/>
  <c r="T18" i="17" l="1"/>
  <c r="T38" i="17" s="1"/>
  <c r="R38" i="17"/>
</calcChain>
</file>

<file path=xl/comments1.xml><?xml version="1.0" encoding="utf-8"?>
<comments xmlns="http://schemas.openxmlformats.org/spreadsheetml/2006/main">
  <authors>
    <author>R.Pennybaker</author>
    <author>AEP</author>
  </authors>
  <commentList>
    <comment ref="C16" authorId="0" shapeId="0">
      <text>
        <r>
          <rPr>
            <b/>
            <sz val="8"/>
            <color indexed="81"/>
            <rFont val="Tahoma"/>
            <family val="2"/>
          </rPr>
          <t>R.Pennybaker:</t>
        </r>
        <r>
          <rPr>
            <sz val="8"/>
            <color indexed="81"/>
            <rFont val="Tahoma"/>
            <family val="2"/>
          </rPr>
          <t xml:space="preserve">
Project Descriptions are in cell [P.xxx]!$D$7]</t>
        </r>
      </text>
    </comment>
    <comment ref="D16" authorId="0" shapeId="0">
      <text>
        <r>
          <rPr>
            <b/>
            <sz val="8"/>
            <color indexed="81"/>
            <rFont val="Tahoma"/>
            <family val="2"/>
          </rPr>
          <t>R.Pennybaker:</t>
        </r>
        <r>
          <rPr>
            <sz val="8"/>
            <color indexed="81"/>
            <rFont val="Tahoma"/>
            <family val="2"/>
          </rPr>
          <t xml:space="preserve">
Year In Service is in cell [P.xxx]!$D$11]</t>
        </r>
      </text>
    </comment>
    <comment ref="E16" authorId="0" shapeId="0">
      <text>
        <r>
          <rPr>
            <b/>
            <sz val="8"/>
            <color indexed="81"/>
            <rFont val="Tahoma"/>
            <family val="2"/>
          </rPr>
          <t>R.Pennybaker:</t>
        </r>
        <r>
          <rPr>
            <sz val="8"/>
            <color indexed="81"/>
            <rFont val="Tahoma"/>
            <family val="2"/>
          </rPr>
          <t xml:space="preserve">
Projected Base ARR is in cell [P.xxx]!$N$5]</t>
        </r>
      </text>
    </comment>
    <comment ref="F16" authorId="0" shapeId="0">
      <text>
        <r>
          <rPr>
            <b/>
            <sz val="8"/>
            <color indexed="81"/>
            <rFont val="Tahoma"/>
            <family val="2"/>
          </rPr>
          <t>R.Pennybaker:</t>
        </r>
        <r>
          <rPr>
            <sz val="8"/>
            <color indexed="81"/>
            <rFont val="Tahoma"/>
            <family val="2"/>
          </rPr>
          <t xml:space="preserve">
Projected Incentive ARR is in WS-F cell N7.</t>
        </r>
      </text>
    </comment>
    <comment ref="I16" authorId="1" shapeId="0">
      <text>
        <r>
          <rPr>
            <b/>
            <sz val="8"/>
            <color indexed="81"/>
            <rFont val="Tahoma"/>
            <family val="2"/>
          </rPr>
          <t>AEP:</t>
        </r>
        <r>
          <rPr>
            <sz val="8"/>
            <color indexed="81"/>
            <rFont val="Tahoma"/>
            <family val="2"/>
          </rPr>
          <t xml:space="preserve">
"TRUE-UP Adjustment (i.e., Forecast Error) is from WS-G sheet [P.00x] in cell M89.</t>
        </r>
      </text>
    </comment>
    <comment ref="J16" authorId="1" shapeId="0">
      <text>
        <r>
          <rPr>
            <b/>
            <sz val="8"/>
            <color indexed="81"/>
            <rFont val="Tahoma"/>
            <family val="2"/>
          </rPr>
          <t>AEP:</t>
        </r>
        <r>
          <rPr>
            <sz val="8"/>
            <color indexed="81"/>
            <rFont val="Tahoma"/>
            <family val="2"/>
          </rPr>
          <t xml:space="preserve">
"Manually input from previous year's update "</t>
        </r>
        <r>
          <rPr>
            <i/>
            <sz val="8"/>
            <color indexed="81"/>
            <rFont val="Tahoma"/>
            <family val="2"/>
          </rPr>
          <t>Schedule 11 Rates by Project</t>
        </r>
        <r>
          <rPr>
            <sz val="8"/>
            <color indexed="81"/>
            <rFont val="Tahoma"/>
            <family val="2"/>
          </rPr>
          <t>" sheet.</t>
        </r>
      </text>
    </comment>
    <comment ref="K16" authorId="0" shapeId="0">
      <text>
        <r>
          <rPr>
            <b/>
            <sz val="8"/>
            <color indexed="81"/>
            <rFont val="Tahoma"/>
            <family val="2"/>
          </rPr>
          <t>MW:</t>
        </r>
        <r>
          <rPr>
            <sz val="8"/>
            <color indexed="81"/>
            <rFont val="Tahoma"/>
            <family val="2"/>
          </rPr>
          <t xml:space="preserve">
These values reflect what AEP booked for the calendar year 2012 for base plan revenues received from SPP.</t>
        </r>
      </text>
    </comment>
    <comment ref="L16" authorId="0" shapeId="0">
      <text>
        <r>
          <rPr>
            <b/>
            <sz val="8"/>
            <color indexed="81"/>
            <rFont val="Tahoma"/>
            <family val="2"/>
          </rPr>
          <t>R.Pennybaker:</t>
        </r>
        <r>
          <rPr>
            <sz val="8"/>
            <color indexed="81"/>
            <rFont val="Tahoma"/>
            <family val="2"/>
          </rPr>
          <t xml:space="preserve">
This can also be referred to as the Billing Error.</t>
        </r>
      </text>
    </comment>
    <comment ref="N16" authorId="1" shapeId="0">
      <text>
        <r>
          <rPr>
            <b/>
            <sz val="8"/>
            <color indexed="81"/>
            <rFont val="Tahoma"/>
            <family val="2"/>
          </rPr>
          <t>AEP:</t>
        </r>
        <r>
          <rPr>
            <sz val="8"/>
            <color indexed="81"/>
            <rFont val="Tahoma"/>
            <family val="2"/>
          </rPr>
          <t xml:space="preserve">
This is "Prior Year True-Up (WS-G)"; and "Incentive Amounts" O88</t>
        </r>
      </text>
    </comment>
    <comment ref="O16" authorId="1" shapeId="0">
      <text>
        <r>
          <rPr>
            <b/>
            <sz val="8"/>
            <color indexed="81"/>
            <rFont val="Tahoma"/>
            <family val="2"/>
          </rPr>
          <t>AEP:</t>
        </r>
        <r>
          <rPr>
            <sz val="8"/>
            <color indexed="81"/>
            <rFont val="Tahoma"/>
            <family val="2"/>
          </rPr>
          <t xml:space="preserve">
Prior Year Projected (WS-F) and Incentive Amounts [cell O87]</t>
        </r>
      </text>
    </comment>
    <comment ref="C21" authorId="1" shapeId="0">
      <text>
        <r>
          <rPr>
            <b/>
            <sz val="9"/>
            <color indexed="81"/>
            <rFont val="Tahoma"/>
            <family val="2"/>
          </rPr>
          <t xml:space="preserve">AEP:
</t>
        </r>
        <r>
          <rPr>
            <sz val="9"/>
            <color indexed="81"/>
            <rFont val="Tahoma"/>
            <family val="2"/>
          </rPr>
          <t xml:space="preserve">The SPP NTC only allows 94% of this project to be Base Plan.  Therefore, from 2016 Update onward, the indicated ATTR is based upon 94% of actual project investment.
In previous annual Updates, AEP provided 100% investment based ATRR thus SPP only collected 94% of the indicated ATRRs.  
Repeating:  from 2016 Update onward, no scaling is required by SPP as the indicated ATRR is already refelcting the 94% scaler per the original NTC.
</t>
        </r>
      </text>
    </comment>
    <comment ref="K38" authorId="0" shapeId="0">
      <text>
        <r>
          <rPr>
            <b/>
            <sz val="8"/>
            <color indexed="81"/>
            <rFont val="Tahoma"/>
            <family val="2"/>
          </rPr>
          <t>R.Pennybaker:</t>
        </r>
        <r>
          <rPr>
            <sz val="8"/>
            <color indexed="81"/>
            <rFont val="Tahoma"/>
            <family val="2"/>
          </rPr>
          <t xml:space="preserve">
This value ties to interest worksheet.  </t>
        </r>
      </text>
    </comment>
  </commentList>
</comments>
</file>

<file path=xl/comments2.xml><?xml version="1.0" encoding="utf-8"?>
<comments xmlns="http://schemas.openxmlformats.org/spreadsheetml/2006/main">
  <authors>
    <author>R.Pennybaker</author>
  </authors>
  <commentList>
    <comment ref="L19" authorId="0" shapeId="0">
      <text>
        <r>
          <rPr>
            <b/>
            <sz val="8"/>
            <color indexed="81"/>
            <rFont val="Tahoma"/>
            <family val="2"/>
          </rPr>
          <t>R.Pennybaker:</t>
        </r>
        <r>
          <rPr>
            <sz val="8"/>
            <color indexed="81"/>
            <rFont val="Tahoma"/>
            <family val="2"/>
          </rPr>
          <t xml:space="preserve">
This value comes from Formula Template file via data INPUT table below.  Then, it supuplies the project year value to the P.xxx sheets.</t>
        </r>
      </text>
    </comment>
  </commentList>
</comments>
</file>

<file path=xl/comments3.xml><?xml version="1.0" encoding="utf-8"?>
<comments xmlns="http://schemas.openxmlformats.org/spreadsheetml/2006/main">
  <authors>
    <author>R.Pennybaker</author>
  </authors>
  <commentList>
    <comment ref="M16" authorId="0" shapeId="0">
      <text>
        <r>
          <rPr>
            <b/>
            <sz val="8"/>
            <color indexed="81"/>
            <rFont val="Tahoma"/>
            <family val="2"/>
          </rPr>
          <t>R.Pennybaker:</t>
        </r>
        <r>
          <rPr>
            <sz val="8"/>
            <color indexed="81"/>
            <rFont val="Tahoma"/>
            <family val="2"/>
          </rPr>
          <t xml:space="preserve">
This cell comes from Formula Template file.  Then, it drives all the P.xxx sheets.</t>
        </r>
      </text>
    </comment>
  </commentList>
</comments>
</file>

<file path=xl/comments4.xml><?xml version="1.0" encoding="utf-8"?>
<comments xmlns="http://schemas.openxmlformats.org/spreadsheetml/2006/main">
  <authors>
    <author>AEP</author>
  </authors>
  <commentList>
    <comment ref="D10" authorId="0" shapeId="0">
      <text>
        <r>
          <rPr>
            <b/>
            <sz val="9"/>
            <color indexed="81"/>
            <rFont val="Tahoma"/>
            <family val="2"/>
          </rPr>
          <t>AEP:</t>
        </r>
        <r>
          <rPr>
            <sz val="9"/>
            <color indexed="81"/>
            <rFont val="Tahoma"/>
            <family val="2"/>
          </rPr>
          <t xml:space="preserve">
Per SPP NTC, Investment (EOY) is input as 94% of actual total investment provided by Planning.</t>
        </r>
      </text>
    </comment>
  </commentList>
</comments>
</file>

<file path=xl/sharedStrings.xml><?xml version="1.0" encoding="utf-8"?>
<sst xmlns="http://schemas.openxmlformats.org/spreadsheetml/2006/main" count="2607" uniqueCount="293">
  <si>
    <t>I.</t>
  </si>
  <si>
    <t xml:space="preserve">   Project ROE Incentive Adder (Enter as whole number)</t>
  </si>
  <si>
    <t>&lt;==Incentive ROE  Cannot Exceed 12.45%</t>
  </si>
  <si>
    <t xml:space="preserve">   Determine R  ( cost of long term debt, cost of preferred stock and percent is from Attachment H, lns 158 through160)</t>
  </si>
  <si>
    <t>SUMMARY OF PROJECTED ANNUAL BASE PLAN AND  NON-BASE PLAN REVENUE REQUIREMENTS</t>
  </si>
  <si>
    <t>%</t>
  </si>
  <si>
    <t>Cost</t>
  </si>
  <si>
    <t>Weighted cost</t>
  </si>
  <si>
    <t>Long Term Debt</t>
  </si>
  <si>
    <t>Rev Require</t>
  </si>
  <si>
    <t xml:space="preserve"> W Incentives</t>
  </si>
  <si>
    <t>Incentive Amounts</t>
  </si>
  <si>
    <t>Preferred Stock</t>
  </si>
  <si>
    <t>Common Stock</t>
  </si>
  <si>
    <t>PROJECTED YEAR</t>
  </si>
  <si>
    <t>R =</t>
  </si>
  <si>
    <r>
      <t xml:space="preserve">Note:  </t>
    </r>
    <r>
      <rPr>
        <sz val="10"/>
        <rFont val="Arial"/>
        <family val="2"/>
      </rPr>
      <t xml:space="preserve">Review formulas in summary to ensure the proper year's revenue requirement is being </t>
    </r>
  </si>
  <si>
    <t>accumulated for each project from the tables below.</t>
  </si>
  <si>
    <t xml:space="preserve">   R   (fom A. above)</t>
  </si>
  <si>
    <t xml:space="preserve">   Return (Rate Base  x  R)</t>
  </si>
  <si>
    <t xml:space="preserve">   Return   (from B. above)</t>
  </si>
  <si>
    <t xml:space="preserve">   EIT=(T/(1-T)) * (1-(WCLTD/WACC)) =</t>
  </si>
  <si>
    <t xml:space="preserve">   Income Tax Calculation  (Return  x  EIT)</t>
  </si>
  <si>
    <t xml:space="preserve">   Income Taxes</t>
  </si>
  <si>
    <t>II.</t>
  </si>
  <si>
    <t xml:space="preserve">   Net Revenue Requirement, Less Return and Taxes</t>
  </si>
  <si>
    <t xml:space="preserve">   Income Taxes  (from I.C. above)</t>
  </si>
  <si>
    <t xml:space="preserve">   Revenue Requirement w/ Gross Margin Taxes</t>
  </si>
  <si>
    <t xml:space="preserve">      Basis Point ROE increase (II B. above)</t>
  </si>
  <si>
    <t xml:space="preserve">       Apportioned Texas Revenues</t>
  </si>
  <si>
    <t xml:space="preserve">       Taxable, Apportioned Margin</t>
  </si>
  <si>
    <t xml:space="preserve">       Texas Gross Margin Tax Rate</t>
  </si>
  <si>
    <t xml:space="preserve">       Texas Gross Margin Tax Expense</t>
  </si>
  <si>
    <t xml:space="preserve">      Gross-up Required for Gross Margin Tax Expense </t>
  </si>
  <si>
    <t>Total Additional Gross Margin Tax Revenue Requirement</t>
  </si>
  <si>
    <t>III.</t>
  </si>
  <si>
    <t>Calculation of Composite Depreciation Rate</t>
  </si>
  <si>
    <t>Transmission Plant @ Beginning of Period (P.206, ln 58)</t>
  </si>
  <si>
    <t>Transmission Plant @ End of Period (P.207, ln 58)</t>
  </si>
  <si>
    <t>Composite Depreciation Rate</t>
  </si>
  <si>
    <t>Depreciable Life for Composite Depreciation Rate</t>
  </si>
  <si>
    <t>Round to nearest whole year</t>
  </si>
  <si>
    <t>IV.</t>
  </si>
  <si>
    <t>Determine the Revenue Requirement &amp; Additional Revenue Requirement for facilities receiving incentives.</t>
  </si>
  <si>
    <t>A.   Facilities receiving incentives accepted by FERC in Docket No.</t>
  </si>
  <si>
    <t xml:space="preserve">   (e.g. ER05-925-000)</t>
  </si>
  <si>
    <t xml:space="preserve">Project Description: </t>
  </si>
  <si>
    <t>Current Projected Year Incentive ARR</t>
  </si>
  <si>
    <t>DETAILS</t>
  </si>
  <si>
    <t>Investment</t>
  </si>
  <si>
    <t>Current Year</t>
  </si>
  <si>
    <t>CUMMULATIVE HISTORY OF PROJECTED ANNUAL REVENUE REQUIREMENTS:</t>
  </si>
  <si>
    <t>Service Year (yyyy)</t>
  </si>
  <si>
    <t>ROE increase accepted by FERC (Basis Points)</t>
  </si>
  <si>
    <t>Service Month (1-12)</t>
  </si>
  <si>
    <t>FCR w/o incentives, less depreciation</t>
  </si>
  <si>
    <t xml:space="preserve">          TEMPLATE BELOW TO MAINTAIN HISTORY OF PROJECTED ARRS OVER THE </t>
  </si>
  <si>
    <t>Useful life</t>
  </si>
  <si>
    <t>FCR w/incentives approved for these facilities, less dep.</t>
  </si>
  <si>
    <t xml:space="preserve">         LIFE OF THE PROJECT.</t>
  </si>
  <si>
    <t>CIAC (Yes or No)</t>
  </si>
  <si>
    <t>No</t>
  </si>
  <si>
    <t>Annual Depreciation Expense</t>
  </si>
  <si>
    <t>Depreciation</t>
  </si>
  <si>
    <t>Ending</t>
  </si>
  <si>
    <t>Additional Rev.</t>
  </si>
  <si>
    <t>Project Rev Req't True-up</t>
  </si>
  <si>
    <t>True-up of Incentive</t>
  </si>
  <si>
    <t>Year</t>
  </si>
  <si>
    <t>Balance</t>
  </si>
  <si>
    <t>Expense</t>
  </si>
  <si>
    <t xml:space="preserve">Requirement </t>
  </si>
  <si>
    <t xml:space="preserve">with Incentives </t>
  </si>
  <si>
    <t xml:space="preserve">  </t>
  </si>
  <si>
    <t xml:space="preserve">w/o Incentives </t>
  </si>
  <si>
    <t>Project Totals</t>
  </si>
  <si>
    <t>additional incentive requirement is applicable for the life of this specific project.  Each year the revenue requirement calculated for SPP</t>
  </si>
  <si>
    <t xml:space="preserve">should be incremented by the amount of the incentive revenue calculated for that year on this project. </t>
  </si>
  <si>
    <t>TP2004033</t>
  </si>
  <si>
    <t>SUMMARY OF TRUED-UP ANNUAL REVENUE REQUIREMENTS FOR SPP BPU &amp; NON-BPU PROJECTS</t>
  </si>
  <si>
    <t>TRUE-UP YEAR</t>
  </si>
  <si>
    <t>Determine the Revenue Requirement, and Additional Revenue Requirement for facilities receiving incentives.</t>
  </si>
  <si>
    <t>Project Description:</t>
  </si>
  <si>
    <t>Details</t>
  </si>
  <si>
    <t>True-Up Year</t>
  </si>
  <si>
    <t>CUMMULATIVE HISTORY OF TRUED-UP ANNUAL REVENUE REQUIREMENTS:</t>
  </si>
  <si>
    <t xml:space="preserve">          TEMPLATE BELOW TO MAINTAIN HISTORY OF TRUED-UP ARRS OVER THE </t>
  </si>
  <si>
    <t>Average</t>
  </si>
  <si>
    <t>Incentive Rev.</t>
  </si>
  <si>
    <t>BPU Rev Req't True-up</t>
  </si>
  <si>
    <r>
      <t xml:space="preserve">** </t>
    </r>
    <r>
      <rPr>
        <sz val="10"/>
        <rFont val="Arial"/>
        <family val="2"/>
      </rPr>
      <t xml:space="preserve"> This is the total amount that needs to be reported to SPP for billing to all regions. </t>
    </r>
  </si>
  <si>
    <t>BPU Rev. Req't.From Prior Year Template</t>
  </si>
  <si>
    <r>
      <t xml:space="preserve">   Return   (from </t>
    </r>
    <r>
      <rPr>
        <sz val="10"/>
        <rFont val="MS Serif"/>
        <family val="1"/>
      </rPr>
      <t>I</t>
    </r>
    <r>
      <rPr>
        <sz val="10"/>
        <rFont val="Arial"/>
        <family val="2"/>
      </rPr>
      <t>.B. above)</t>
    </r>
  </si>
  <si>
    <r>
      <t xml:space="preserve">Requirement </t>
    </r>
    <r>
      <rPr>
        <b/>
        <sz val="10"/>
        <color indexed="10"/>
        <rFont val="Arial"/>
        <family val="2"/>
      </rPr>
      <t>##</t>
    </r>
  </si>
  <si>
    <r>
      <t>with Incentives</t>
    </r>
    <r>
      <rPr>
        <b/>
        <sz val="10"/>
        <color indexed="10"/>
        <rFont val="Arial"/>
        <family val="2"/>
      </rPr>
      <t xml:space="preserve"> **</t>
    </r>
  </si>
  <si>
    <r>
      <t>##</t>
    </r>
    <r>
      <rPr>
        <b/>
        <sz val="10"/>
        <rFont val="Arial"/>
        <family val="2"/>
      </rPr>
      <t xml:space="preserve"> This is the calculation of  additional incentive revenue on projects deemed by the FERC to be eligible for an incentive return.  This</t>
    </r>
  </si>
  <si>
    <r>
      <t xml:space="preserve">## </t>
    </r>
    <r>
      <rPr>
        <b/>
        <sz val="10"/>
        <color indexed="8"/>
        <rFont val="Arial"/>
        <family val="2"/>
      </rPr>
      <t>This is the calculation of  additional incentive revenue on projects deemed by the FERC to be eligible for an incentive return.  This</t>
    </r>
  </si>
  <si>
    <t>Long Term Debt %</t>
  </si>
  <si>
    <t>Long Term Debt Cost</t>
  </si>
  <si>
    <t>Preferred Stock %</t>
  </si>
  <si>
    <t>Preferred Stock Cost</t>
  </si>
  <si>
    <t>Common Stock %</t>
  </si>
  <si>
    <t>STEP 2</t>
  </si>
  <si>
    <t>STEP 3</t>
  </si>
  <si>
    <t xml:space="preserve">       Apportionment Factor to Texas (Worksheet K, ln 12)</t>
  </si>
  <si>
    <t>Black text is not used in this workbook.</t>
  </si>
  <si>
    <t>Blue text is used by this workbbok and driven by non WS-F Formula Rate template worksheets</t>
  </si>
  <si>
    <t>SEE INPUT/OUTPUT ranges to the right  ----&gt;</t>
  </si>
  <si>
    <t>SEE INPUT/OUTPUT ranges to the right  ------&gt;</t>
  </si>
  <si>
    <t xml:space="preserve">AEP West SPP Member Companies </t>
  </si>
  <si>
    <t>See INPUT/OUTPUT ranges below.</t>
  </si>
  <si>
    <t>STEP 1</t>
  </si>
  <si>
    <t>Is done first in the main Formula Rate template  Worksheet F.</t>
  </si>
  <si>
    <t>STEP 4</t>
  </si>
  <si>
    <t>Is done last in the main Formula Rate template  Worksheet F.</t>
  </si>
  <si>
    <t>Copy to main FR Template</t>
  </si>
  <si>
    <t>Project Description</t>
  </si>
  <si>
    <t>Is done first in the main Formula Rate template  Worksheet G.</t>
  </si>
  <si>
    <t>Is done last in the main Formula Rate template  Worksheet G.</t>
  </si>
  <si>
    <t>Blue text below is used by this workbbok and comes from main Formula Rate template WS-G sheet.</t>
  </si>
  <si>
    <t>As Projected in Prior Year WS F   Rev Require</t>
  </si>
  <si>
    <t>As Projected in Prior Year WS F    W Incentives</t>
  </si>
  <si>
    <t>Actual after True-up Rev Require</t>
  </si>
  <si>
    <t>Actual after True-up  W Incentives</t>
  </si>
  <si>
    <r>
      <t>Worksheet F</t>
    </r>
    <r>
      <rPr>
        <sz val="14"/>
        <rFont val="Arial"/>
        <family val="2"/>
      </rPr>
      <t xml:space="preserve"> - Calculation of PROJECTED Annual Revenue Requirement for BPU and Special-billed Projects</t>
    </r>
  </si>
  <si>
    <r>
      <t>Worksheet G</t>
    </r>
    <r>
      <rPr>
        <sz val="14"/>
        <rFont val="Arial"/>
        <family val="2"/>
      </rPr>
      <t xml:space="preserve"> - Calculation of TRUED-UP Annual Revenue Requirement for BPU and Special-billed Projects</t>
    </r>
  </si>
  <si>
    <t xml:space="preserve">Worksheet F </t>
  </si>
  <si>
    <t>&lt;----Worksheet data is for</t>
  </si>
  <si>
    <t>Worksheet F</t>
  </si>
  <si>
    <t>Worksheet G</t>
  </si>
  <si>
    <r>
      <t>##</t>
    </r>
    <r>
      <rPr>
        <sz val="10"/>
        <rFont val="Arial"/>
        <family val="2"/>
      </rPr>
      <t xml:space="preserve"> </t>
    </r>
    <r>
      <rPr>
        <b/>
        <sz val="10"/>
        <color indexed="8"/>
        <rFont val="Arial"/>
        <family val="2"/>
      </rPr>
      <t>This is the calculation of  additional incentive revenue on projects deemed by the FERC to be eligible for an incentive return.  This</t>
    </r>
  </si>
  <si>
    <t xml:space="preserve">(Worksheet F)    </t>
  </si>
  <si>
    <t xml:space="preserve">(Worksheet G)    </t>
  </si>
  <si>
    <t>basis points</t>
  </si>
  <si>
    <t>w/Incentives</t>
  </si>
  <si>
    <t xml:space="preserve">True-Up Adjustment  </t>
  </si>
  <si>
    <t>AEP Transmission Formula Rate Template</t>
  </si>
  <si>
    <t xml:space="preserve">AEP Schedule 11 Revenue Requirement Including True-Up of Prior Collections </t>
  </si>
  <si>
    <t>(A)</t>
  </si>
  <si>
    <t>(B)</t>
  </si>
  <si>
    <t>(C )</t>
  </si>
  <si>
    <t>(D)</t>
  </si>
  <si>
    <t>(E)</t>
  </si>
  <si>
    <t>(F)</t>
  </si>
  <si>
    <t>(H)</t>
  </si>
  <si>
    <t>(I)</t>
  </si>
  <si>
    <t>(M)</t>
  </si>
  <si>
    <t>Base ARR</t>
  </si>
  <si>
    <t>Owner</t>
  </si>
  <si>
    <t>Year in Service</t>
  </si>
  <si>
    <t>Incentive</t>
  </si>
  <si>
    <t>Total</t>
  </si>
  <si>
    <t>True-up</t>
  </si>
  <si>
    <t>As Billed</t>
  </si>
  <si>
    <t>Change</t>
  </si>
  <si>
    <t>Interest</t>
  </si>
  <si>
    <t>Sheet Name</t>
  </si>
  <si>
    <t>AEP TOTALS</t>
  </si>
  <si>
    <t>Indirect References</t>
  </si>
  <si>
    <r>
      <t xml:space="preserve">Calculation of Schedule </t>
    </r>
    <r>
      <rPr>
        <sz val="12"/>
        <rFont val="Arial"/>
        <family val="2"/>
      </rPr>
      <t>11 Revenue Requirements For AEP Transmission Projects</t>
    </r>
  </si>
  <si>
    <r>
      <t xml:space="preserve">   DO </t>
    </r>
    <r>
      <rPr>
        <b/>
        <sz val="10"/>
        <color indexed="10"/>
        <rFont val="Arial"/>
        <family val="2"/>
      </rPr>
      <t>NOT</t>
    </r>
    <r>
      <rPr>
        <b/>
        <sz val="10"/>
        <rFont val="Arial"/>
        <family val="2"/>
      </rPr>
      <t xml:space="preserve"> delete this row or the formulas above will not work.</t>
    </r>
  </si>
  <si>
    <t>from WS-F &amp; G</t>
  </si>
  <si>
    <t>Do NOT delete.</t>
  </si>
  <si>
    <r>
      <t xml:space="preserve">TRUE-UP Adjustment </t>
    </r>
    <r>
      <rPr>
        <sz val="10"/>
        <rFont val="Arial"/>
        <family val="2"/>
      </rPr>
      <t>(WS-G)</t>
    </r>
  </si>
  <si>
    <r>
      <t xml:space="preserve">Base ARR
</t>
    </r>
    <r>
      <rPr>
        <sz val="10"/>
        <rFont val="Arial"/>
        <family val="2"/>
      </rPr>
      <t>(WS-F)</t>
    </r>
  </si>
  <si>
    <t>COLLECTION Adjustment</t>
  </si>
  <si>
    <t>Incentive ARR</t>
  </si>
  <si>
    <t>(J)</t>
  </si>
  <si>
    <t>(L)</t>
  </si>
  <si>
    <t>(O)</t>
  </si>
  <si>
    <t>Total Adjustments before Interest</t>
  </si>
  <si>
    <t>the column above</t>
  </si>
  <si>
    <t>is used to feed interest</t>
  </si>
  <si>
    <t>calculation engine and its</t>
  </si>
  <si>
    <t>output is put into the interest</t>
  </si>
  <si>
    <t>column to left (O).</t>
  </si>
  <si>
    <t>PROJECTED Rev. Req't From Prior Year Template</t>
  </si>
  <si>
    <t>TRUE-UP Rev. Req't.From Prior Year Template</t>
  </si>
  <si>
    <t xml:space="preserve"> Worksheet G</t>
  </si>
  <si>
    <r>
      <t xml:space="preserve">As Billed
by SPP
</t>
    </r>
    <r>
      <rPr>
        <sz val="10"/>
        <rFont val="Arial"/>
        <family val="2"/>
      </rPr>
      <t>(for Prior Yr
T-Service)</t>
    </r>
  </si>
  <si>
    <t xml:space="preserve"> &lt;--- this value goes to sched 11 interest support file</t>
  </si>
  <si>
    <r>
      <t xml:space="preserve">Total Adjustments
</t>
    </r>
    <r>
      <rPr>
        <sz val="8"/>
        <rFont val="Arial"/>
        <family val="2"/>
      </rPr>
      <t>(True-Up, Billing, &amp; Interest)</t>
    </r>
  </si>
  <si>
    <t>OKT</t>
  </si>
  <si>
    <t>OKT Total</t>
  </si>
  <si>
    <t>Worksheet F --- DATA INPUT (Paste.Values) from TEMPLATE OKT WS F</t>
  </si>
  <si>
    <t>EXPORT DATA to Template OKT WS F</t>
  </si>
  <si>
    <t>DATA INPUT (Paste.Values) from main FR TEMPLATE OKT WS G</t>
  </si>
  <si>
    <t>EXPORT DATA to main FR Template OKT WS G</t>
  </si>
  <si>
    <t>OKLAHOMA TRANSMISSION COMPANY</t>
  </si>
  <si>
    <t>Worksheet F  --  OKLAHOMA TRANSMISSION COMPANY  --  Calculation of "Projected" ARR for SPP Base Plan Upgrade Projects</t>
  </si>
  <si>
    <t>Worksheet G  --  OKLAHOMA TRANSMISSION COMPANY  --  Calculation of "Trued-Up" ARR for SPP Base Plan Upgrade Projects</t>
  </si>
  <si>
    <t>Snyder 138 kV Terminal Addition</t>
  </si>
  <si>
    <t>Coffeyville T to Dearing 138 kV Rebuild - 1.1 miles</t>
  </si>
  <si>
    <t>Historic / Projected Beginning</t>
  </si>
  <si>
    <t>OKT.001</t>
  </si>
  <si>
    <t>OKT.002</t>
  </si>
  <si>
    <t>TP2009013</t>
  </si>
  <si>
    <t>TP2008013</t>
  </si>
  <si>
    <t>TP2009090</t>
  </si>
  <si>
    <t>Tulsa Power Station Reactor</t>
  </si>
  <si>
    <t>TP2008079</t>
  </si>
  <si>
    <t xml:space="preserve">Bartlesville SE to Coffeyville T Rebuild </t>
  </si>
  <si>
    <t>OKT.003</t>
  </si>
  <si>
    <t>OKT.004</t>
  </si>
  <si>
    <t>TP2007167</t>
  </si>
  <si>
    <t>TP2009095</t>
  </si>
  <si>
    <t xml:space="preserve">Canadian River - McAlester City 138 kV Line Conversion </t>
  </si>
  <si>
    <t>OKT.005</t>
  </si>
  <si>
    <t>OKT.006</t>
  </si>
  <si>
    <t>NOTE:  Project became BPU inligible (see Docket ER12-981) thus investment amout and Proj Beg Balance for 2013 forward set to $0.</t>
  </si>
  <si>
    <t>NOTE:  Project became BPU inligible (see Docket ER12-981) please see Note on Project's WS-F.  No changes made to this WS-G.</t>
  </si>
  <si>
    <t>Install 345kV terminal at Valliant***</t>
  </si>
  <si>
    <t>*&lt;$100K investment  *** Project became BPU ineligible (see Project's Notes)</t>
  </si>
  <si>
    <t>TP2011093</t>
  </si>
  <si>
    <t xml:space="preserve">Cornville Station Conversion </t>
  </si>
  <si>
    <t>Coweta 69 kV Capacitor</t>
  </si>
  <si>
    <t>OKT.007</t>
  </si>
  <si>
    <t>OKT.008</t>
  </si>
  <si>
    <t>TP2012141</t>
  </si>
  <si>
    <t>TP2010094</t>
  </si>
  <si>
    <t>Prattville-Bluebell 138 kV</t>
  </si>
  <si>
    <t>TP2013002</t>
  </si>
  <si>
    <t>Grady Customer Connection</t>
  </si>
  <si>
    <t>TP2012112</t>
  </si>
  <si>
    <t>Darlington-Red Rock 138 kV line</t>
  </si>
  <si>
    <t>OKT.009</t>
  </si>
  <si>
    <t>OKT.010</t>
  </si>
  <si>
    <t>OKT.011</t>
  </si>
  <si>
    <t>OKT.012</t>
  </si>
  <si>
    <t>Wapanucka Customer Connection</t>
  </si>
  <si>
    <t>***Sch. 11 recovery commenced in 2015 rate year***</t>
  </si>
  <si>
    <t>Ellis 138 kV</t>
  </si>
  <si>
    <t>TP2012055</t>
  </si>
  <si>
    <t>OKT.013</t>
  </si>
  <si>
    <t>Valliant-NW Texarkana 345 kV</t>
  </si>
  <si>
    <t>TP 2009089</t>
  </si>
  <si>
    <t>OKT.014</t>
  </si>
  <si>
    <t>NOTE:  Original NTC indicates only 94% to be Base Plan.</t>
  </si>
  <si>
    <t>&lt;&lt; 2016-present ARR values based on 94% actual cost.  Yrs 2011-15 ARR values based on 100% actual cost (SPP scaled ARR data) &gt;&gt;</t>
  </si>
  <si>
    <t>OKT.015</t>
  </si>
  <si>
    <t>A.   Determine Net Revenue Requirement less return and Income Taxes.</t>
  </si>
  <si>
    <t>&lt;==From Input on Worksheet A</t>
  </si>
  <si>
    <t>Current Projected Year ARR</t>
  </si>
  <si>
    <t>Current Projected Year ARR w/ Incentive</t>
  </si>
  <si>
    <t>Darlington Roman Nose 138 kv</t>
  </si>
  <si>
    <t>insert project name here</t>
  </si>
  <si>
    <t>Carnegie South-Southwestern 123 kv line rebuild</t>
  </si>
  <si>
    <t>Chisholm - Gracemont 345 kv line and station</t>
  </si>
  <si>
    <t>OKT.016</t>
  </si>
  <si>
    <t>OKT.017</t>
  </si>
  <si>
    <t>Paste in both column below - numbers and line descriptions</t>
  </si>
  <si>
    <t>Beg/Ending 
Average
Revenue</t>
  </si>
  <si>
    <t>Beg/Ending
Average
Revenue Req't.</t>
  </si>
  <si>
    <t xml:space="preserve">True Up Year Projected  (WS-F)  </t>
  </si>
  <si>
    <t xml:space="preserve">True-Up Year Actual (WS-G)  </t>
  </si>
  <si>
    <t xml:space="preserve">∑ True-Up Year Projected  (WS-F)  </t>
  </si>
  <si>
    <t xml:space="preserve">∑ True Up Year Actual  (WS-G)  </t>
  </si>
  <si>
    <t xml:space="preserve">       Taxable Percentage of Revenue (22%)</t>
  </si>
  <si>
    <t>Annual Depreciation Expense  (Historic TCOS, ln 259)</t>
  </si>
  <si>
    <t>Note 1:  Until OKLAHOMA TRANSMISSION COMPANY establishes Transmission plant in service the depreciation expense component of the carrying charge will be calculated as in the Operating Company formula approved in Docket No. ER07-1069.  The calculation for OKLAHOMA TRANSMISSION COMPANY is based on Plant Balances and Depreciation Expense for PSO and shown on lines 8 through 14 of Worksheet B.</t>
  </si>
  <si>
    <t>TP2009089</t>
  </si>
  <si>
    <t>TP 2015027</t>
  </si>
  <si>
    <t>TP 2014207</t>
  </si>
  <si>
    <t>TP 2011150</t>
  </si>
  <si>
    <t>Duncan-Comanche Tap 69 KV Rebuild</t>
  </si>
  <si>
    <t>OKT.018</t>
  </si>
  <si>
    <t>TP 2015191</t>
  </si>
  <si>
    <t>Note - This project was expected to be completed and then sold to WFEC during 2017, but will not be sold till late 2018.</t>
  </si>
  <si>
    <t>Projected Adjusted ARR from Prior Update</t>
  </si>
  <si>
    <t>TP2015204</t>
  </si>
  <si>
    <t>Fort Towson-Valliant 69 KV Line Rebuild</t>
  </si>
  <si>
    <t xml:space="preserve">   ROE w/o incentives  (TCOS, ln 143)</t>
  </si>
  <si>
    <t xml:space="preserve">   Rate Base  (TCOS, ln 63)</t>
  </si>
  <si>
    <t xml:space="preserve">   Tax Rate  (TCOS, ln 99)</t>
  </si>
  <si>
    <t xml:space="preserve">   ITC Adjustment  (TCOS, ln 108)</t>
  </si>
  <si>
    <t xml:space="preserve">   Excess DFIT Adjustment  (TCOS, ln 109)</t>
  </si>
  <si>
    <t xml:space="preserve">   Tax Effect of Permanent and Flow Through Differences (TCOS, ln 110)</t>
  </si>
  <si>
    <t xml:space="preserve">   Net Revenue Requirement  (TCOS, ln 117)</t>
  </si>
  <si>
    <t xml:space="preserve">   Return  (TCOS, ln 112)</t>
  </si>
  <si>
    <t xml:space="preserve">   Income Taxes  (TCOS, ln 111)</t>
  </si>
  <si>
    <t xml:space="preserve">  Gross Margin Taxes  (TCOS, ln 116)</t>
  </si>
  <si>
    <t xml:space="preserve">   Less: Depreciation  (TCOS, ln 86)</t>
  </si>
  <si>
    <t xml:space="preserve">   Net Transmission Plant  (TCOS, ln 37)</t>
  </si>
  <si>
    <t xml:space="preserve">   FCR less Depreciation  (TCOS, ln 10)</t>
  </si>
  <si>
    <t>Annual Depreciation Expense  (TCOS, ln 86)</t>
  </si>
  <si>
    <t xml:space="preserve">Transmission Plant Average Balance </t>
  </si>
  <si>
    <t>Transmission Plant Average Balance for 2018</t>
  </si>
  <si>
    <t>Projected Year</t>
  </si>
  <si>
    <t xml:space="preserve">   Tax Effect of Permanent and Flow Through Differences  (TCOS, ln 110)</t>
  </si>
  <si>
    <t>OKT.019</t>
  </si>
  <si>
    <t xml:space="preserve"> </t>
  </si>
  <si>
    <t xml:space="preserve">   Excess DFIT Adjustment  (TCOS, ln 110)</t>
  </si>
  <si>
    <t xml:space="preserve">   Tax Effect of Permanent and Flow Through Differences (TCOS, ln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</si>
</sst>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
    <numFmt numFmtId="167" formatCode="0.0000"/>
    <numFmt numFmtId="168" formatCode="&quot;$&quot;#,##0.00"/>
    <numFmt numFmtId="169" formatCode="_(* #,##0_);_(* \(#,##0\);_(* &quot;-&quot;??_);_(@_)"/>
    <numFmt numFmtId="170" formatCode="_(&quot;$&quot;* #,##0_);_(&quot;$&quot;* \(#,##0\);_(&quot;$&quot;* &quot;-&quot;??_);_(@_)"/>
    <numFmt numFmtId="171" formatCode="_(* #,##0.0000_);_(* \(#,##0.0000\);_(* &quot;-&quot;????_);_(@_)"/>
    <numFmt numFmtId="172" formatCode="_(* #,##0.0000_);_(* \(#,##0.0000\);_(* &quot;-&quot;_);_(@_)"/>
    <numFmt numFmtId="173" formatCode="_(* #,##0.00000_);_(* \(#,##0.00000\);_(* &quot;-&quot;??_);_(@_)"/>
    <numFmt numFmtId="174" formatCode="#\ ??/12"/>
    <numFmt numFmtId="175" formatCode="&quot;$&quot;#,##0\ ;\(&quot;$&quot;#,##0\)"/>
    <numFmt numFmtId="176" formatCode="_(* #,##0.0,_);_(* \(#,##0.0,\);_(* &quot;-   &quot;_);_(@_)"/>
    <numFmt numFmtId="177" formatCode="_(* #,##0.000000_);_(* \(#,##0.000000\);_(* &quot;-&quot;??_);_(@_)"/>
    <numFmt numFmtId="178" formatCode="_(* #,##0.000000000_);_(* \(#,##0.000000000\);_(* &quot;-&quot;_);_(@_)"/>
    <numFmt numFmtId="179" formatCode="0.0000%"/>
  </numFmts>
  <fonts count="102">
    <font>
      <sz val="10"/>
      <name val="Arial"/>
    </font>
    <font>
      <sz val="10"/>
      <name val="Arial"/>
      <family val="2"/>
    </font>
    <font>
      <sz val="11"/>
      <color indexed="8"/>
      <name val="Arial Narrow"/>
      <family val="2"/>
    </font>
    <font>
      <sz val="11"/>
      <color indexed="9"/>
      <name val="Arial Narrow"/>
      <family val="2"/>
    </font>
    <font>
      <sz val="11"/>
      <color indexed="20"/>
      <name val="Arial Narrow"/>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8"/>
      <name val="Arial"/>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sz val="12"/>
      <name val="Arial MT"/>
    </font>
    <font>
      <b/>
      <sz val="11"/>
      <color indexed="63"/>
      <name val="Arial Narrow"/>
      <family val="2"/>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sz val="14"/>
      <name val="Arial"/>
      <family val="2"/>
    </font>
    <font>
      <b/>
      <sz val="14"/>
      <name val="MS Serif"/>
      <family val="1"/>
    </font>
    <font>
      <u/>
      <sz val="10"/>
      <name val="Arial"/>
      <family val="2"/>
    </font>
    <font>
      <sz val="10"/>
      <name val="MS Serif"/>
      <family val="1"/>
    </font>
    <font>
      <b/>
      <sz val="16"/>
      <name val="Arial"/>
      <family val="2"/>
    </font>
    <font>
      <sz val="12"/>
      <color indexed="12"/>
      <name val="Arial"/>
      <family val="2"/>
    </font>
    <font>
      <b/>
      <sz val="10"/>
      <color indexed="12"/>
      <name val="Arial"/>
      <family val="2"/>
    </font>
    <font>
      <b/>
      <sz val="10"/>
      <color indexed="10"/>
      <name val="Arial"/>
      <family val="2"/>
    </font>
    <font>
      <sz val="10"/>
      <color indexed="12"/>
      <name val="Arial"/>
      <family val="2"/>
    </font>
    <font>
      <sz val="10"/>
      <color indexed="10"/>
      <name val="Arial"/>
      <family val="2"/>
    </font>
    <font>
      <u val="singleAccounting"/>
      <sz val="10"/>
      <name val="Arial"/>
      <family val="2"/>
    </font>
    <font>
      <sz val="12"/>
      <color indexed="10"/>
      <name val="Arial"/>
      <family val="2"/>
    </font>
    <font>
      <b/>
      <sz val="10"/>
      <color indexed="8"/>
      <name val="Arial"/>
      <family val="2"/>
    </font>
    <font>
      <sz val="8"/>
      <color indexed="81"/>
      <name val="Tahoma"/>
      <family val="2"/>
    </font>
    <font>
      <b/>
      <sz val="8"/>
      <color indexed="81"/>
      <name val="Tahoma"/>
      <family val="2"/>
    </font>
    <font>
      <b/>
      <sz val="10"/>
      <color indexed="48"/>
      <name val="Arial"/>
      <family val="2"/>
    </font>
    <font>
      <sz val="8"/>
      <name val="Arial"/>
      <family val="2"/>
    </font>
    <font>
      <b/>
      <i/>
      <sz val="8"/>
      <color indexed="10"/>
      <name val="Arial"/>
      <family val="2"/>
    </font>
    <font>
      <sz val="10"/>
      <color indexed="12"/>
      <name val="Arial"/>
      <family val="2"/>
    </font>
    <font>
      <b/>
      <u/>
      <sz val="10"/>
      <name val="Arial"/>
      <family val="2"/>
    </font>
    <font>
      <b/>
      <sz val="10"/>
      <color indexed="57"/>
      <name val="Arial"/>
      <family val="2"/>
    </font>
    <font>
      <sz val="14"/>
      <color indexed="12"/>
      <name val="Arial"/>
      <family val="2"/>
    </font>
    <font>
      <sz val="10"/>
      <color indexed="9"/>
      <name val="Arial"/>
      <family val="2"/>
    </font>
    <font>
      <sz val="12"/>
      <name val="Arial"/>
      <family val="2"/>
    </font>
    <font>
      <b/>
      <sz val="12"/>
      <color indexed="12"/>
      <name val="Arial"/>
      <family val="2"/>
    </font>
    <font>
      <sz val="10"/>
      <color indexed="13"/>
      <name val="Arial"/>
      <family val="2"/>
    </font>
    <font>
      <sz val="10"/>
      <color indexed="10"/>
      <name val="Arial"/>
      <family val="2"/>
    </font>
    <font>
      <i/>
      <sz val="8"/>
      <color indexed="81"/>
      <name val="Tahoma"/>
      <family val="2"/>
    </font>
    <font>
      <sz val="8"/>
      <color indexed="10"/>
      <name val="Arial"/>
      <family val="2"/>
    </font>
    <font>
      <b/>
      <sz val="9"/>
      <color indexed="81"/>
      <name val="Tahoma"/>
      <family val="2"/>
    </font>
    <font>
      <sz val="9"/>
      <color indexed="81"/>
      <name val="Tahoma"/>
      <family val="2"/>
    </font>
    <font>
      <sz val="10"/>
      <name val="Arial"/>
      <family val="2"/>
    </font>
    <font>
      <sz val="10"/>
      <color indexed="30"/>
      <name val="Arial"/>
      <family val="2"/>
    </font>
    <font>
      <b/>
      <sz val="10"/>
      <color indexed="30"/>
      <name val="Arial"/>
      <family val="2"/>
    </font>
    <font>
      <sz val="10"/>
      <color indexed="12"/>
      <name val="Arial"/>
      <family val="2"/>
    </font>
    <font>
      <b/>
      <sz val="12"/>
      <color indexed="10"/>
      <name val="Arial"/>
      <family val="2"/>
    </font>
    <font>
      <sz val="12"/>
      <color indexed="10"/>
      <name val="Arial"/>
      <family val="2"/>
    </font>
    <font>
      <sz val="10"/>
      <name val="Arial"/>
      <family val="2"/>
    </font>
    <font>
      <sz val="10"/>
      <color indexed="22"/>
      <name val="Arial"/>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b/>
      <sz val="18"/>
      <color indexed="22"/>
      <name val="Arial"/>
      <family val="2"/>
    </font>
    <font>
      <b/>
      <sz val="12"/>
      <color indexed="22"/>
      <name val="Arial"/>
      <family val="2"/>
    </font>
    <font>
      <sz val="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51">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s>
  <cellStyleXfs count="264">
    <xf numFmtId="0" fontId="0" fillId="0" borderId="0"/>
    <xf numFmtId="0" fontId="2" fillId="2" borderId="0" applyNumberFormat="0" applyBorder="0" applyAlignment="0" applyProtection="0"/>
    <xf numFmtId="0" fontId="86" fillId="2" borderId="0" applyNumberFormat="0" applyBorder="0" applyAlignment="0" applyProtection="0"/>
    <xf numFmtId="0" fontId="2" fillId="3" borderId="0" applyNumberFormat="0" applyBorder="0" applyAlignment="0" applyProtection="0"/>
    <xf numFmtId="0" fontId="86" fillId="3" borderId="0" applyNumberFormat="0" applyBorder="0" applyAlignment="0" applyProtection="0"/>
    <xf numFmtId="0" fontId="2" fillId="4" borderId="0" applyNumberFormat="0" applyBorder="0" applyAlignment="0" applyProtection="0"/>
    <xf numFmtId="0" fontId="86" fillId="4" borderId="0" applyNumberFormat="0" applyBorder="0" applyAlignment="0" applyProtection="0"/>
    <xf numFmtId="0" fontId="2" fillId="5" borderId="0" applyNumberFormat="0" applyBorder="0" applyAlignment="0" applyProtection="0"/>
    <xf numFmtId="0" fontId="86" fillId="5" borderId="0" applyNumberFormat="0" applyBorder="0" applyAlignment="0" applyProtection="0"/>
    <xf numFmtId="0" fontId="2" fillId="6" borderId="0" applyNumberFormat="0" applyBorder="0" applyAlignment="0" applyProtection="0"/>
    <xf numFmtId="0" fontId="86" fillId="6" borderId="0" applyNumberFormat="0" applyBorder="0" applyAlignment="0" applyProtection="0"/>
    <xf numFmtId="0" fontId="2" fillId="7" borderId="0" applyNumberFormat="0" applyBorder="0" applyAlignment="0" applyProtection="0"/>
    <xf numFmtId="0" fontId="86" fillId="7" borderId="0" applyNumberFormat="0" applyBorder="0" applyAlignment="0" applyProtection="0"/>
    <xf numFmtId="0" fontId="2" fillId="8" borderId="0" applyNumberFormat="0" applyBorder="0" applyAlignment="0" applyProtection="0"/>
    <xf numFmtId="0" fontId="86" fillId="8" borderId="0" applyNumberFormat="0" applyBorder="0" applyAlignment="0" applyProtection="0"/>
    <xf numFmtId="0" fontId="2" fillId="9" borderId="0" applyNumberFormat="0" applyBorder="0" applyAlignment="0" applyProtection="0"/>
    <xf numFmtId="0" fontId="86" fillId="9" borderId="0" applyNumberFormat="0" applyBorder="0" applyAlignment="0" applyProtection="0"/>
    <xf numFmtId="0" fontId="2" fillId="10" borderId="0" applyNumberFormat="0" applyBorder="0" applyAlignment="0" applyProtection="0"/>
    <xf numFmtId="0" fontId="86" fillId="10" borderId="0" applyNumberFormat="0" applyBorder="0" applyAlignment="0" applyProtection="0"/>
    <xf numFmtId="0" fontId="2" fillId="5" borderId="0" applyNumberFormat="0" applyBorder="0" applyAlignment="0" applyProtection="0"/>
    <xf numFmtId="0" fontId="86" fillId="5" borderId="0" applyNumberFormat="0" applyBorder="0" applyAlignment="0" applyProtection="0"/>
    <xf numFmtId="0" fontId="2" fillId="8" borderId="0" applyNumberFormat="0" applyBorder="0" applyAlignment="0" applyProtection="0"/>
    <xf numFmtId="0" fontId="86" fillId="8" borderId="0" applyNumberFormat="0" applyBorder="0" applyAlignment="0" applyProtection="0"/>
    <xf numFmtId="0" fontId="2" fillId="11" borderId="0" applyNumberFormat="0" applyBorder="0" applyAlignment="0" applyProtection="0"/>
    <xf numFmtId="0" fontId="86" fillId="11" borderId="0" applyNumberFormat="0" applyBorder="0" applyAlignment="0" applyProtection="0"/>
    <xf numFmtId="0" fontId="3" fillId="12" borderId="0" applyNumberFormat="0" applyBorder="0" applyAlignment="0" applyProtection="0"/>
    <xf numFmtId="0" fontId="87" fillId="12" borderId="0" applyNumberFormat="0" applyBorder="0" applyAlignment="0" applyProtection="0"/>
    <xf numFmtId="0" fontId="3" fillId="9" borderId="0" applyNumberFormat="0" applyBorder="0" applyAlignment="0" applyProtection="0"/>
    <xf numFmtId="0" fontId="87" fillId="9" borderId="0" applyNumberFormat="0" applyBorder="0" applyAlignment="0" applyProtection="0"/>
    <xf numFmtId="0" fontId="3" fillId="10" borderId="0" applyNumberFormat="0" applyBorder="0" applyAlignment="0" applyProtection="0"/>
    <xf numFmtId="0" fontId="87" fillId="10" borderId="0" applyNumberFormat="0" applyBorder="0" applyAlignment="0" applyProtection="0"/>
    <xf numFmtId="0" fontId="3" fillId="13" borderId="0" applyNumberFormat="0" applyBorder="0" applyAlignment="0" applyProtection="0"/>
    <xf numFmtId="0" fontId="87" fillId="13" borderId="0" applyNumberFormat="0" applyBorder="0" applyAlignment="0" applyProtection="0"/>
    <xf numFmtId="0" fontId="3" fillId="14" borderId="0" applyNumberFormat="0" applyBorder="0" applyAlignment="0" applyProtection="0"/>
    <xf numFmtId="0" fontId="87" fillId="14" borderId="0" applyNumberFormat="0" applyBorder="0" applyAlignment="0" applyProtection="0"/>
    <xf numFmtId="0" fontId="3" fillId="15" borderId="0" applyNumberFormat="0" applyBorder="0" applyAlignment="0" applyProtection="0"/>
    <xf numFmtId="0" fontId="87" fillId="15" borderId="0" applyNumberFormat="0" applyBorder="0" applyAlignment="0" applyProtection="0"/>
    <xf numFmtId="0" fontId="3" fillId="16" borderId="0" applyNumberFormat="0" applyBorder="0" applyAlignment="0" applyProtection="0"/>
    <xf numFmtId="0" fontId="87" fillId="16" borderId="0" applyNumberFormat="0" applyBorder="0" applyAlignment="0" applyProtection="0"/>
    <xf numFmtId="0" fontId="3" fillId="17" borderId="0" applyNumberFormat="0" applyBorder="0" applyAlignment="0" applyProtection="0"/>
    <xf numFmtId="0" fontId="87" fillId="17" borderId="0" applyNumberFormat="0" applyBorder="0" applyAlignment="0" applyProtection="0"/>
    <xf numFmtId="0" fontId="3" fillId="18" borderId="0" applyNumberFormat="0" applyBorder="0" applyAlignment="0" applyProtection="0"/>
    <xf numFmtId="0" fontId="87" fillId="18" borderId="0" applyNumberFormat="0" applyBorder="0" applyAlignment="0" applyProtection="0"/>
    <xf numFmtId="0" fontId="3" fillId="13" borderId="0" applyNumberFormat="0" applyBorder="0" applyAlignment="0" applyProtection="0"/>
    <xf numFmtId="0" fontId="87" fillId="13" borderId="0" applyNumberFormat="0" applyBorder="0" applyAlignment="0" applyProtection="0"/>
    <xf numFmtId="0" fontId="3" fillId="14" borderId="0" applyNumberFormat="0" applyBorder="0" applyAlignment="0" applyProtection="0"/>
    <xf numFmtId="0" fontId="87" fillId="14" borderId="0" applyNumberFormat="0" applyBorder="0" applyAlignment="0" applyProtection="0"/>
    <xf numFmtId="0" fontId="3" fillId="19" borderId="0" applyNumberFormat="0" applyBorder="0" applyAlignment="0" applyProtection="0"/>
    <xf numFmtId="0" fontId="87" fillId="19" borderId="0" applyNumberFormat="0" applyBorder="0" applyAlignment="0" applyProtection="0"/>
    <xf numFmtId="0" fontId="4" fillId="3" borderId="0" applyNumberFormat="0" applyBorder="0" applyAlignment="0" applyProtection="0"/>
    <xf numFmtId="0" fontId="88" fillId="3" borderId="0" applyNumberFormat="0" applyBorder="0" applyAlignment="0" applyProtection="0"/>
    <xf numFmtId="168" fontId="5" fillId="0" borderId="0" applyFill="0"/>
    <xf numFmtId="168" fontId="5" fillId="0" borderId="0">
      <alignment horizontal="center"/>
    </xf>
    <xf numFmtId="0" fontId="5" fillId="0" borderId="0" applyFill="0">
      <alignment horizontal="center"/>
    </xf>
    <xf numFmtId="168" fontId="6" fillId="0" borderId="1" applyFill="0"/>
    <xf numFmtId="0" fontId="7" fillId="0" borderId="0" applyFont="0" applyAlignment="0"/>
    <xf numFmtId="0" fontId="8" fillId="0" borderId="0" applyFill="0">
      <alignment vertical="top"/>
    </xf>
    <xf numFmtId="0" fontId="6" fillId="0" borderId="0" applyFill="0">
      <alignment horizontal="left" vertical="top"/>
    </xf>
    <xf numFmtId="168" fontId="9" fillId="0" borderId="2" applyFill="0"/>
    <xf numFmtId="0" fontId="7" fillId="0" borderId="0" applyNumberFormat="0" applyFont="0" applyAlignment="0"/>
    <xf numFmtId="0" fontId="8" fillId="0" borderId="0" applyFill="0">
      <alignment wrapText="1"/>
    </xf>
    <xf numFmtId="0" fontId="6" fillId="0" borderId="0" applyFill="0">
      <alignment horizontal="left" vertical="top" wrapText="1"/>
    </xf>
    <xf numFmtId="168" fontId="10" fillId="0" borderId="0" applyFill="0"/>
    <xf numFmtId="0" fontId="11" fillId="0" borderId="0" applyNumberFormat="0" applyFont="0" applyAlignment="0">
      <alignment horizontal="center"/>
    </xf>
    <xf numFmtId="0" fontId="12" fillId="0" borderId="0" applyFill="0">
      <alignment vertical="top" wrapText="1"/>
    </xf>
    <xf numFmtId="0" fontId="9" fillId="0" borderId="0" applyFill="0">
      <alignment horizontal="left" vertical="top" wrapText="1"/>
    </xf>
    <xf numFmtId="168" fontId="7" fillId="0" borderId="0" applyFill="0"/>
    <xf numFmtId="0" fontId="11" fillId="0" borderId="0" applyNumberFormat="0" applyFont="0" applyAlignment="0">
      <alignment horizontal="center"/>
    </xf>
    <xf numFmtId="0" fontId="13" fillId="0" borderId="0" applyFill="0">
      <alignment vertical="center" wrapText="1"/>
    </xf>
    <xf numFmtId="0" fontId="14" fillId="0" borderId="0">
      <alignment horizontal="left" vertical="center" wrapText="1"/>
    </xf>
    <xf numFmtId="168" fontId="15" fillId="0" borderId="0" applyFill="0"/>
    <xf numFmtId="0" fontId="11" fillId="0" borderId="0" applyNumberFormat="0" applyFont="0" applyAlignment="0">
      <alignment horizontal="center"/>
    </xf>
    <xf numFmtId="0" fontId="16" fillId="0" borderId="0" applyFill="0">
      <alignment horizontal="center" vertical="center" wrapText="1"/>
    </xf>
    <xf numFmtId="0" fontId="7" fillId="0" borderId="0" applyFill="0">
      <alignment horizontal="center" vertical="center" wrapText="1"/>
    </xf>
    <xf numFmtId="168" fontId="17" fillId="0" borderId="0" applyFill="0"/>
    <xf numFmtId="0" fontId="11" fillId="0" borderId="0" applyNumberFormat="0" applyFont="0" applyAlignment="0">
      <alignment horizontal="center"/>
    </xf>
    <xf numFmtId="0" fontId="18" fillId="0" borderId="0" applyFill="0">
      <alignment horizontal="center" vertical="center" wrapText="1"/>
    </xf>
    <xf numFmtId="0" fontId="19" fillId="0" borderId="0" applyFill="0">
      <alignment horizontal="center" vertical="center" wrapText="1"/>
    </xf>
    <xf numFmtId="168" fontId="20" fillId="0" borderId="0" applyFill="0"/>
    <xf numFmtId="0" fontId="11" fillId="0" borderId="0" applyNumberFormat="0" applyFont="0" applyAlignment="0">
      <alignment horizontal="center"/>
    </xf>
    <xf numFmtId="0" fontId="21" fillId="0" borderId="0">
      <alignment horizontal="center" wrapText="1"/>
    </xf>
    <xf numFmtId="0" fontId="17" fillId="0" borderId="0" applyFill="0">
      <alignment horizontal="center" wrapText="1"/>
    </xf>
    <xf numFmtId="0" fontId="22" fillId="20" borderId="3" applyNumberFormat="0" applyAlignment="0" applyProtection="0"/>
    <xf numFmtId="0" fontId="89" fillId="20" borderId="3" applyNumberFormat="0" applyAlignment="0" applyProtection="0"/>
    <xf numFmtId="0" fontId="23" fillId="21" borderId="4" applyNumberFormat="0" applyAlignment="0" applyProtection="0"/>
    <xf numFmtId="0" fontId="90" fillId="21" borderId="4" applyNumberFormat="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7" fillId="0" borderId="0" applyFont="0" applyFill="0" applyBorder="0" applyAlignment="0" applyProtection="0"/>
    <xf numFmtId="43" fontId="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7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3" fontId="7"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7"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175" fontId="84" fillId="0" borderId="0" applyFont="0" applyFill="0" applyBorder="0" applyAlignment="0" applyProtection="0"/>
    <xf numFmtId="175" fontId="84" fillId="0" borderId="0" applyFont="0" applyFill="0" applyBorder="0" applyAlignment="0" applyProtection="0"/>
    <xf numFmtId="175" fontId="84" fillId="0" borderId="0" applyFont="0" applyFill="0" applyBorder="0" applyAlignment="0" applyProtection="0"/>
    <xf numFmtId="14" fontId="7"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24" fillId="0" borderId="0" applyNumberFormat="0" applyFill="0" applyBorder="0" applyAlignment="0" applyProtection="0"/>
    <xf numFmtId="0" fontId="91" fillId="0" borderId="0" applyNumberFormat="0" applyFill="0" applyBorder="0" applyAlignment="0" applyProtection="0"/>
    <xf numFmtId="2" fontId="7" fillId="0" borderId="0" applyFont="0" applyFill="0" applyBorder="0" applyAlignment="0" applyProtection="0"/>
    <xf numFmtId="2" fontId="84" fillId="0" borderId="0" applyFont="0" applyFill="0" applyBorder="0" applyAlignment="0" applyProtection="0"/>
    <xf numFmtId="2" fontId="84" fillId="0" borderId="0" applyFont="0" applyFill="0" applyBorder="0" applyAlignment="0" applyProtection="0"/>
    <xf numFmtId="2" fontId="84" fillId="0" borderId="0" applyFont="0" applyFill="0" applyBorder="0" applyAlignment="0" applyProtection="0"/>
    <xf numFmtId="0" fontId="25" fillId="4" borderId="0" applyNumberFormat="0" applyBorder="0" applyAlignment="0" applyProtection="0"/>
    <xf numFmtId="0" fontId="92" fillId="4" borderId="0" applyNumberFormat="0" applyBorder="0" applyAlignment="0" applyProtection="0"/>
    <xf numFmtId="0" fontId="26" fillId="0" borderId="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7" fillId="0" borderId="5" applyNumberFormat="0" applyFill="0" applyAlignment="0" applyProtection="0"/>
    <xf numFmtId="0" fontId="93" fillId="0" borderId="5" applyNumberFormat="0" applyFill="0" applyAlignment="0" applyProtection="0"/>
    <xf numFmtId="0" fontId="27" fillId="0" borderId="0" applyNumberFormat="0" applyFill="0" applyBorder="0" applyAlignment="0" applyProtection="0"/>
    <xf numFmtId="0" fontId="93" fillId="0" borderId="0" applyNumberFormat="0" applyFill="0" applyBorder="0" applyAlignment="0" applyProtection="0"/>
    <xf numFmtId="0" fontId="28" fillId="0" borderId="6"/>
    <xf numFmtId="0" fontId="29" fillId="0" borderId="0"/>
    <xf numFmtId="0" fontId="30" fillId="7" borderId="3" applyNumberFormat="0" applyAlignment="0" applyProtection="0"/>
    <xf numFmtId="0" fontId="94" fillId="7" borderId="3" applyNumberFormat="0" applyAlignment="0" applyProtection="0"/>
    <xf numFmtId="0" fontId="31" fillId="0" borderId="7" applyNumberFormat="0" applyFill="0" applyAlignment="0" applyProtection="0"/>
    <xf numFmtId="0" fontId="95" fillId="0" borderId="7" applyNumberFormat="0" applyFill="0" applyAlignment="0" applyProtection="0"/>
    <xf numFmtId="176" fontId="83"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32" fillId="22" borderId="0" applyNumberFormat="0" applyBorder="0" applyAlignment="0" applyProtection="0"/>
    <xf numFmtId="0" fontId="96" fillId="22" borderId="0" applyNumberFormat="0" applyBorder="0" applyAlignment="0" applyProtection="0"/>
    <xf numFmtId="0" fontId="7" fillId="0" borderId="0"/>
    <xf numFmtId="0" fontId="7" fillId="0" borderId="0"/>
    <xf numFmtId="0" fontId="85" fillId="0" borderId="0"/>
    <xf numFmtId="0" fontId="7" fillId="0" borderId="0"/>
    <xf numFmtId="0" fontId="7" fillId="0" borderId="0"/>
    <xf numFmtId="0" fontId="85" fillId="0" borderId="0"/>
    <xf numFmtId="0" fontId="7" fillId="0" borderId="0"/>
    <xf numFmtId="0" fontId="1" fillId="0" borderId="0"/>
    <xf numFmtId="0" fontId="7" fillId="0" borderId="0"/>
    <xf numFmtId="0" fontId="77" fillId="0" borderId="0"/>
    <xf numFmtId="0" fontId="7" fillId="0" borderId="0"/>
    <xf numFmtId="0" fontId="83" fillId="0" borderId="0"/>
    <xf numFmtId="0" fontId="83" fillId="0" borderId="0"/>
    <xf numFmtId="0" fontId="83" fillId="0" borderId="0"/>
    <xf numFmtId="0" fontId="85" fillId="0" borderId="0"/>
    <xf numFmtId="0" fontId="7" fillId="0" borderId="0"/>
    <xf numFmtId="0" fontId="7" fillId="0" borderId="0"/>
    <xf numFmtId="168" fontId="33" fillId="0" borderId="0" applyProtection="0"/>
    <xf numFmtId="0" fontId="33" fillId="23" borderId="8" applyNumberFormat="0" applyFont="0" applyAlignment="0" applyProtection="0"/>
    <xf numFmtId="0" fontId="7" fillId="23" borderId="8" applyNumberFormat="0" applyFont="0" applyAlignment="0" applyProtection="0"/>
    <xf numFmtId="0" fontId="34" fillId="20" borderId="9" applyNumberFormat="0" applyAlignment="0" applyProtection="0"/>
    <xf numFmtId="0" fontId="97" fillId="20" borderId="9" applyNumberFormat="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7" fillId="0" borderId="0" applyFont="0" applyFill="0" applyBorder="0" applyAlignment="0" applyProtection="0"/>
    <xf numFmtId="9" fontId="7"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7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0" fontId="35" fillId="0" borderId="0" applyNumberFormat="0" applyFont="0" applyFill="0" applyBorder="0" applyAlignment="0" applyProtection="0">
      <alignment horizontal="left"/>
    </xf>
    <xf numFmtId="0" fontId="35" fillId="0" borderId="0" applyNumberFormat="0" applyFont="0" applyFill="0" applyBorder="0" applyAlignment="0" applyProtection="0">
      <alignment horizontal="left"/>
    </xf>
    <xf numFmtId="0" fontId="35" fillId="0" borderId="0" applyNumberFormat="0" applyFont="0" applyFill="0" applyBorder="0" applyAlignment="0" applyProtection="0">
      <alignment horizontal="left"/>
    </xf>
    <xf numFmtId="15" fontId="35" fillId="0" borderId="0" applyFont="0" applyFill="0" applyBorder="0" applyAlignment="0" applyProtection="0"/>
    <xf numFmtId="4" fontId="35" fillId="0" borderId="0" applyFont="0" applyFill="0" applyBorder="0" applyAlignment="0" applyProtection="0"/>
    <xf numFmtId="3" fontId="7" fillId="0" borderId="0">
      <alignment horizontal="left" vertical="top"/>
    </xf>
    <xf numFmtId="0" fontId="36" fillId="0" borderId="6">
      <alignment horizontal="center"/>
    </xf>
    <xf numFmtId="3" fontId="35" fillId="0" borderId="0" applyFont="0" applyFill="0" applyBorder="0" applyAlignment="0" applyProtection="0"/>
    <xf numFmtId="0" fontId="35" fillId="24" borderId="0" applyNumberFormat="0" applyFont="0" applyBorder="0" applyAlignment="0" applyProtection="0"/>
    <xf numFmtId="3" fontId="7" fillId="0" borderId="0">
      <alignment horizontal="right" vertical="top"/>
    </xf>
    <xf numFmtId="41" fontId="14" fillId="25" borderId="10" applyFill="0"/>
    <xf numFmtId="0" fontId="37" fillId="0" borderId="0">
      <alignment horizontal="left" indent="7"/>
    </xf>
    <xf numFmtId="41" fontId="14" fillId="0" borderId="10" applyFill="0">
      <alignment horizontal="left" indent="2"/>
    </xf>
    <xf numFmtId="168" fontId="38" fillId="0" borderId="11" applyFill="0">
      <alignment horizontal="right"/>
    </xf>
    <xf numFmtId="0" fontId="39" fillId="0" borderId="12" applyNumberFormat="0" applyFont="0" applyBorder="0">
      <alignment horizontal="right"/>
    </xf>
    <xf numFmtId="0" fontId="40" fillId="0" borderId="0" applyFill="0"/>
    <xf numFmtId="0" fontId="9" fillId="0" borderId="0" applyFill="0"/>
    <xf numFmtId="4" fontId="38" fillId="0" borderId="11" applyFill="0"/>
    <xf numFmtId="0" fontId="7" fillId="0" borderId="0" applyNumberFormat="0" applyFont="0" applyBorder="0" applyAlignment="0"/>
    <xf numFmtId="0" fontId="12" fillId="0" borderId="0" applyFill="0">
      <alignment horizontal="left" indent="1"/>
    </xf>
    <xf numFmtId="0" fontId="41" fillId="0" borderId="0" applyFill="0">
      <alignment horizontal="left" indent="1"/>
    </xf>
    <xf numFmtId="4" fontId="15" fillId="0" borderId="0" applyFill="0"/>
    <xf numFmtId="0" fontId="7" fillId="0" borderId="0" applyNumberFormat="0" applyFont="0" applyFill="0" applyBorder="0" applyAlignment="0"/>
    <xf numFmtId="0" fontId="12" fillId="0" borderId="0" applyFill="0">
      <alignment horizontal="left" indent="2"/>
    </xf>
    <xf numFmtId="0" fontId="9" fillId="0" borderId="0" applyFill="0">
      <alignment horizontal="left" indent="2"/>
    </xf>
    <xf numFmtId="4" fontId="15" fillId="0" borderId="0" applyFill="0"/>
    <xf numFmtId="0" fontId="7" fillId="0" borderId="0" applyNumberFormat="0" applyFont="0" applyBorder="0" applyAlignment="0"/>
    <xf numFmtId="0" fontId="42" fillId="0" borderId="0">
      <alignment horizontal="left" indent="3"/>
    </xf>
    <xf numFmtId="0" fontId="43" fillId="0" borderId="0" applyFill="0">
      <alignment horizontal="left" indent="3"/>
    </xf>
    <xf numFmtId="4" fontId="15" fillId="0" borderId="0" applyFill="0"/>
    <xf numFmtId="0" fontId="7" fillId="0" borderId="0" applyNumberFormat="0" applyFont="0" applyBorder="0" applyAlignment="0"/>
    <xf numFmtId="0" fontId="16" fillId="0" borderId="0">
      <alignment horizontal="left" indent="4"/>
    </xf>
    <xf numFmtId="0" fontId="7" fillId="0" borderId="0" applyFill="0">
      <alignment horizontal="left" indent="4"/>
    </xf>
    <xf numFmtId="4" fontId="17" fillId="0" borderId="0" applyFill="0"/>
    <xf numFmtId="0" fontId="7" fillId="0" borderId="0" applyNumberFormat="0" applyFont="0" applyBorder="0" applyAlignment="0"/>
    <xf numFmtId="0" fontId="18" fillId="0" borderId="0">
      <alignment horizontal="left" indent="5"/>
    </xf>
    <xf numFmtId="0" fontId="19" fillId="0" borderId="0" applyFill="0">
      <alignment horizontal="left" indent="5"/>
    </xf>
    <xf numFmtId="4" fontId="20" fillId="0" borderId="0" applyFill="0"/>
    <xf numFmtId="0" fontId="7" fillId="0" borderId="0" applyNumberFormat="0" applyFont="0" applyFill="0" applyBorder="0" applyAlignment="0"/>
    <xf numFmtId="0" fontId="21" fillId="0" borderId="0" applyFill="0">
      <alignment horizontal="left" indent="6"/>
    </xf>
    <xf numFmtId="0" fontId="17" fillId="0" borderId="0" applyFill="0">
      <alignment horizontal="left" indent="6"/>
    </xf>
    <xf numFmtId="0" fontId="44" fillId="0" borderId="0" applyNumberFormat="0" applyFill="0" applyBorder="0" applyAlignment="0" applyProtection="0"/>
    <xf numFmtId="0" fontId="44" fillId="0" borderId="0" applyNumberFormat="0" applyFill="0" applyBorder="0" applyAlignment="0" applyProtection="0"/>
    <xf numFmtId="0" fontId="7" fillId="0" borderId="0" applyFont="0" applyFill="0" applyBorder="0" applyAlignment="0" applyProtection="0"/>
    <xf numFmtId="0" fontId="84" fillId="0" borderId="1" applyNumberFormat="0" applyFont="0" applyFill="0" applyAlignment="0" applyProtection="0"/>
    <xf numFmtId="0" fontId="84" fillId="0" borderId="1" applyNumberFormat="0" applyFont="0" applyFill="0" applyAlignment="0" applyProtection="0"/>
    <xf numFmtId="0" fontId="84" fillId="0" borderId="1" applyNumberFormat="0" applyFont="0" applyFill="0" applyAlignment="0" applyProtection="0"/>
    <xf numFmtId="0" fontId="45" fillId="0" borderId="0" applyNumberFormat="0" applyFill="0" applyBorder="0" applyAlignment="0" applyProtection="0"/>
    <xf numFmtId="0" fontId="98" fillId="0" borderId="0" applyNumberFormat="0" applyFill="0" applyBorder="0" applyAlignment="0" applyProtection="0"/>
    <xf numFmtId="43" fontId="1" fillId="0" borderId="0" applyFont="0" applyFill="0" applyBorder="0" applyAlignment="0" applyProtection="0"/>
  </cellStyleXfs>
  <cellXfs count="667">
    <xf numFmtId="0" fontId="0" fillId="0" borderId="0" xfId="0"/>
    <xf numFmtId="0" fontId="7" fillId="0" borderId="0" xfId="0" applyFont="1"/>
    <xf numFmtId="0" fontId="7" fillId="0" borderId="0" xfId="0" applyFont="1" applyAlignment="1">
      <alignment horizontal="center"/>
    </xf>
    <xf numFmtId="169" fontId="7" fillId="0" borderId="0" xfId="86" applyNumberFormat="1" applyFont="1"/>
    <xf numFmtId="0" fontId="7" fillId="0" borderId="0" xfId="0" applyFont="1" applyBorder="1"/>
    <xf numFmtId="0" fontId="47" fillId="0" borderId="0" xfId="0" applyFont="1" applyFill="1"/>
    <xf numFmtId="0" fontId="0" fillId="0" borderId="0" xfId="0" applyAlignment="1">
      <alignment wrapText="1"/>
    </xf>
    <xf numFmtId="0" fontId="0" fillId="0" borderId="0" xfId="0" applyBorder="1"/>
    <xf numFmtId="0" fontId="9" fillId="0" borderId="0" xfId="0" applyFont="1" applyAlignment="1">
      <alignment horizontal="left"/>
    </xf>
    <xf numFmtId="0" fontId="7" fillId="0" borderId="0" xfId="0" applyFont="1" applyFill="1" applyBorder="1"/>
    <xf numFmtId="10" fontId="7" fillId="0" borderId="0" xfId="0" applyNumberFormat="1" applyFont="1" applyBorder="1"/>
    <xf numFmtId="0" fontId="7" fillId="0" borderId="0" xfId="0" applyFont="1" applyFill="1" applyBorder="1" applyAlignment="1"/>
    <xf numFmtId="0" fontId="14" fillId="0" borderId="0" xfId="191" applyNumberFormat="1" applyFont="1" applyFill="1" applyBorder="1" applyAlignment="1" applyProtection="1">
      <protection locked="0"/>
    </xf>
    <xf numFmtId="0" fontId="6" fillId="0" borderId="0" xfId="0" applyFont="1" applyFill="1"/>
    <xf numFmtId="10" fontId="7" fillId="0" borderId="0" xfId="0" applyNumberFormat="1" applyFont="1"/>
    <xf numFmtId="0" fontId="7" fillId="0" borderId="0" xfId="0" applyFont="1" applyFill="1" applyBorder="1" applyAlignment="1">
      <alignment wrapText="1"/>
    </xf>
    <xf numFmtId="0" fontId="0" fillId="0" borderId="0" xfId="0" applyFill="1"/>
    <xf numFmtId="169" fontId="7" fillId="0" borderId="0" xfId="0" applyNumberFormat="1" applyFont="1"/>
    <xf numFmtId="0" fontId="46" fillId="0" borderId="0" xfId="0" applyFont="1" applyAlignment="1">
      <alignment horizontal="right"/>
    </xf>
    <xf numFmtId="169" fontId="7" fillId="0" borderId="0" xfId="86" applyNumberFormat="1" applyFont="1" applyBorder="1"/>
    <xf numFmtId="0" fontId="39" fillId="0" borderId="0" xfId="0" applyFont="1" applyAlignment="1">
      <alignment horizontal="left"/>
    </xf>
    <xf numFmtId="0" fontId="51" fillId="26" borderId="0" xfId="86" applyNumberFormat="1" applyFont="1" applyFill="1" applyAlignment="1">
      <alignment horizontal="left"/>
    </xf>
    <xf numFmtId="0" fontId="39" fillId="0" borderId="17" xfId="0" applyFont="1" applyBorder="1"/>
    <xf numFmtId="0" fontId="39" fillId="0" borderId="18" xfId="0" applyFont="1" applyBorder="1"/>
    <xf numFmtId="0" fontId="7" fillId="0" borderId="18" xfId="0" applyFont="1" applyBorder="1"/>
    <xf numFmtId="169" fontId="39" fillId="0" borderId="19" xfId="86" applyNumberFormat="1" applyFont="1" applyBorder="1"/>
    <xf numFmtId="0" fontId="14" fillId="0" borderId="0" xfId="86" applyNumberFormat="1" applyFont="1" applyFill="1" applyAlignment="1">
      <alignment horizontal="left"/>
    </xf>
    <xf numFmtId="0" fontId="14" fillId="0" borderId="0" xfId="86" applyNumberFormat="1" applyFont="1" applyFill="1" applyBorder="1" applyAlignment="1">
      <alignment horizontal="left"/>
    </xf>
    <xf numFmtId="0" fontId="39" fillId="0" borderId="13" xfId="0" applyFont="1" applyBorder="1"/>
    <xf numFmtId="0" fontId="9" fillId="0" borderId="0" xfId="86" applyNumberFormat="1" applyFont="1" applyFill="1" applyBorder="1" applyAlignment="1">
      <alignment horizontal="left"/>
    </xf>
    <xf numFmtId="169" fontId="39" fillId="0" borderId="20" xfId="86" applyNumberFormat="1" applyFont="1" applyBorder="1"/>
    <xf numFmtId="0" fontId="39" fillId="0" borderId="0" xfId="0" applyFont="1" applyFill="1"/>
    <xf numFmtId="169" fontId="39" fillId="0" borderId="15" xfId="86" applyNumberFormat="1" applyFont="1" applyBorder="1"/>
    <xf numFmtId="169" fontId="7" fillId="0" borderId="6" xfId="86" applyNumberFormat="1" applyFont="1" applyBorder="1"/>
    <xf numFmtId="169" fontId="7" fillId="0" borderId="16" xfId="86" applyNumberFormat="1" applyFont="1" applyBorder="1"/>
    <xf numFmtId="0" fontId="53" fillId="0" borderId="0" xfId="0" applyFont="1" applyFill="1" applyAlignment="1"/>
    <xf numFmtId="0" fontId="7" fillId="0" borderId="0" xfId="0" applyFont="1" applyFill="1" applyAlignment="1">
      <alignment wrapText="1"/>
    </xf>
    <xf numFmtId="0" fontId="39" fillId="0" borderId="21" xfId="0" applyFont="1" applyFill="1" applyBorder="1" applyAlignment="1">
      <alignment horizontal="center"/>
    </xf>
    <xf numFmtId="0" fontId="39" fillId="0" borderId="22" xfId="0" applyFont="1" applyFill="1" applyBorder="1" applyAlignment="1">
      <alignment horizontal="center"/>
    </xf>
    <xf numFmtId="0" fontId="39" fillId="0" borderId="23" xfId="0" applyFont="1" applyFill="1" applyBorder="1" applyAlignment="1">
      <alignment horizontal="center"/>
    </xf>
    <xf numFmtId="0" fontId="39" fillId="0" borderId="0" xfId="0" applyFont="1" applyFill="1" applyBorder="1" applyAlignment="1">
      <alignment horizontal="center"/>
    </xf>
    <xf numFmtId="0" fontId="0" fillId="0" borderId="0" xfId="0" applyBorder="1" applyAlignment="1"/>
    <xf numFmtId="0" fontId="7" fillId="0" borderId="13" xfId="0" applyFont="1" applyFill="1" applyBorder="1" applyAlignment="1"/>
    <xf numFmtId="169" fontId="54" fillId="26" borderId="14" xfId="86" applyNumberFormat="1" applyFont="1" applyFill="1" applyBorder="1" applyAlignment="1">
      <alignment horizontal="right"/>
    </xf>
    <xf numFmtId="0" fontId="7" fillId="0" borderId="0" xfId="0" applyFont="1" applyBorder="1" applyAlignment="1">
      <alignment horizontal="center"/>
    </xf>
    <xf numFmtId="0" fontId="39" fillId="0" borderId="19" xfId="0" applyFont="1" applyFill="1" applyBorder="1" applyAlignment="1">
      <alignment horizontal="center"/>
    </xf>
    <xf numFmtId="0" fontId="7" fillId="0" borderId="13" xfId="0" applyFont="1" applyFill="1" applyBorder="1"/>
    <xf numFmtId="0" fontId="54" fillId="26" borderId="14" xfId="0" applyFont="1" applyFill="1" applyBorder="1" applyAlignment="1">
      <alignment horizontal="right"/>
    </xf>
    <xf numFmtId="169" fontId="7" fillId="0" borderId="14" xfId="0" applyNumberFormat="1" applyFont="1" applyFill="1" applyBorder="1" applyAlignment="1">
      <alignment horizontal="right"/>
    </xf>
    <xf numFmtId="169" fontId="7" fillId="0" borderId="0" xfId="0" applyNumberFormat="1" applyFont="1" applyFill="1" applyBorder="1" applyAlignment="1">
      <alignment horizontal="right"/>
    </xf>
    <xf numFmtId="10" fontId="7" fillId="0" borderId="14" xfId="0" applyNumberFormat="1" applyFont="1" applyBorder="1"/>
    <xf numFmtId="10" fontId="7" fillId="0" borderId="0" xfId="0" applyNumberFormat="1" applyFont="1" applyFill="1" applyBorder="1"/>
    <xf numFmtId="169" fontId="7" fillId="0" borderId="14" xfId="86" applyNumberFormat="1" applyFont="1" applyBorder="1"/>
    <xf numFmtId="0" fontId="39" fillId="0" borderId="24" xfId="0" applyFont="1" applyBorder="1" applyAlignment="1">
      <alignment horizontal="center"/>
    </xf>
    <xf numFmtId="169" fontId="39" fillId="0" borderId="24" xfId="86" applyNumberFormat="1" applyFont="1" applyBorder="1" applyAlignment="1">
      <alignment horizontal="center"/>
    </xf>
    <xf numFmtId="0" fontId="39" fillId="0" borderId="25" xfId="0" applyFont="1" applyBorder="1" applyAlignment="1">
      <alignment horizontal="center"/>
    </xf>
    <xf numFmtId="169" fontId="39" fillId="0" borderId="24" xfId="86" applyNumberFormat="1" applyFont="1" applyBorder="1" applyAlignment="1">
      <alignment horizontal="center" wrapText="1"/>
    </xf>
    <xf numFmtId="0" fontId="39" fillId="0" borderId="26" xfId="0" applyFont="1" applyBorder="1" applyAlignment="1">
      <alignment horizontal="center"/>
    </xf>
    <xf numFmtId="169" fontId="39" fillId="0" borderId="16" xfId="86" applyNumberFormat="1" applyFont="1" applyBorder="1" applyAlignment="1">
      <alignment horizontal="center"/>
    </xf>
    <xf numFmtId="0" fontId="39" fillId="0" borderId="26" xfId="0" applyFont="1" applyFill="1" applyBorder="1" applyAlignment="1">
      <alignment horizontal="center"/>
    </xf>
    <xf numFmtId="0" fontId="39" fillId="0" borderId="25" xfId="0" applyFont="1" applyFill="1" applyBorder="1" applyAlignment="1">
      <alignment horizontal="center"/>
    </xf>
    <xf numFmtId="169" fontId="39" fillId="0" borderId="26" xfId="86" applyNumberFormat="1" applyFont="1" applyBorder="1" applyAlignment="1">
      <alignment horizontal="center"/>
    </xf>
    <xf numFmtId="0" fontId="7" fillId="0" borderId="25" xfId="0" applyNumberFormat="1" applyFont="1" applyBorder="1" applyAlignment="1">
      <alignment horizontal="center"/>
    </xf>
    <xf numFmtId="169" fontId="7" fillId="0" borderId="0" xfId="0" applyNumberFormat="1" applyFont="1" applyBorder="1"/>
    <xf numFmtId="169" fontId="7" fillId="0" borderId="24" xfId="86" applyNumberFormat="1" applyFont="1" applyBorder="1"/>
    <xf numFmtId="170" fontId="7" fillId="0" borderId="14" xfId="0" applyNumberFormat="1" applyFont="1" applyBorder="1"/>
    <xf numFmtId="170" fontId="7" fillId="0" borderId="24" xfId="0" applyNumberFormat="1" applyFont="1" applyBorder="1"/>
    <xf numFmtId="170" fontId="7" fillId="0" borderId="25" xfId="0" applyNumberFormat="1" applyFont="1" applyBorder="1"/>
    <xf numFmtId="169" fontId="7" fillId="0" borderId="25" xfId="0" applyNumberFormat="1" applyFont="1" applyBorder="1"/>
    <xf numFmtId="169" fontId="1" fillId="0" borderId="25" xfId="86" applyNumberFormat="1" applyBorder="1"/>
    <xf numFmtId="169" fontId="7" fillId="0" borderId="25" xfId="86" applyNumberFormat="1" applyFont="1" applyBorder="1"/>
    <xf numFmtId="169" fontId="7" fillId="0" borderId="25" xfId="0" applyNumberFormat="1" applyFont="1" applyFill="1" applyBorder="1"/>
    <xf numFmtId="169" fontId="7" fillId="0" borderId="25" xfId="86" applyNumberFormat="1" applyFont="1" applyFill="1" applyBorder="1"/>
    <xf numFmtId="0" fontId="7" fillId="0" borderId="26" xfId="0" applyNumberFormat="1" applyFont="1" applyBorder="1" applyAlignment="1">
      <alignment horizontal="center"/>
    </xf>
    <xf numFmtId="169" fontId="7" fillId="0" borderId="26" xfId="0" applyNumberFormat="1" applyFont="1" applyBorder="1"/>
    <xf numFmtId="169" fontId="1" fillId="0" borderId="26" xfId="86" applyNumberFormat="1" applyBorder="1"/>
    <xf numFmtId="169" fontId="7" fillId="0" borderId="26" xfId="86" applyNumberFormat="1" applyFont="1" applyFill="1" applyBorder="1"/>
    <xf numFmtId="170" fontId="7" fillId="0" borderId="16" xfId="0" applyNumberFormat="1" applyFont="1" applyBorder="1"/>
    <xf numFmtId="170" fontId="7" fillId="0" borderId="26" xfId="0" applyNumberFormat="1" applyFont="1" applyBorder="1"/>
    <xf numFmtId="0" fontId="53" fillId="0" borderId="0" xfId="0" applyFont="1" applyFill="1"/>
    <xf numFmtId="170" fontId="7" fillId="0" borderId="0" xfId="0" applyNumberFormat="1" applyFont="1" applyBorder="1"/>
    <xf numFmtId="169" fontId="55" fillId="0" borderId="0" xfId="0" applyNumberFormat="1" applyFont="1" applyAlignment="1">
      <alignment horizontal="left"/>
    </xf>
    <xf numFmtId="0" fontId="9" fillId="0" borderId="0" xfId="0" applyFont="1" applyFill="1"/>
    <xf numFmtId="169" fontId="39" fillId="0" borderId="0" xfId="86" applyNumberFormat="1" applyFont="1" applyBorder="1"/>
    <xf numFmtId="169" fontId="7" fillId="0" borderId="14" xfId="0" applyNumberFormat="1" applyFont="1" applyBorder="1"/>
    <xf numFmtId="169" fontId="39" fillId="0" borderId="11" xfId="86" applyNumberFormat="1" applyFont="1" applyBorder="1"/>
    <xf numFmtId="169" fontId="7" fillId="0" borderId="20" xfId="0" applyNumberFormat="1" applyFont="1" applyBorder="1"/>
    <xf numFmtId="0" fontId="7" fillId="0" borderId="15" xfId="0" applyFont="1" applyBorder="1"/>
    <xf numFmtId="169" fontId="39" fillId="0" borderId="6" xfId="86" applyNumberFormat="1" applyFont="1" applyFill="1" applyBorder="1" applyAlignment="1">
      <alignment horizontal="left"/>
    </xf>
    <xf numFmtId="169" fontId="39" fillId="0" borderId="16" xfId="86" applyNumberFormat="1" applyFont="1" applyFill="1" applyBorder="1" applyAlignment="1">
      <alignment horizontal="left"/>
    </xf>
    <xf numFmtId="0" fontId="7" fillId="0" borderId="21" xfId="0" applyFont="1" applyFill="1" applyBorder="1" applyAlignment="1">
      <alignment horizontal="center"/>
    </xf>
    <xf numFmtId="0" fontId="0" fillId="0" borderId="22" xfId="0" applyBorder="1" applyAlignment="1"/>
    <xf numFmtId="0" fontId="0" fillId="0" borderId="0" xfId="0" applyFill="1" applyBorder="1" applyAlignment="1"/>
    <xf numFmtId="0" fontId="7" fillId="0" borderId="6" xfId="0" applyFont="1" applyBorder="1" applyAlignment="1">
      <alignment horizontal="center"/>
    </xf>
    <xf numFmtId="0" fontId="0" fillId="0" borderId="6" xfId="0" applyBorder="1"/>
    <xf numFmtId="0" fontId="39" fillId="0" borderId="24" xfId="0" applyFont="1" applyBorder="1" applyAlignment="1">
      <alignment horizontal="center" wrapText="1"/>
    </xf>
    <xf numFmtId="0" fontId="39" fillId="0" borderId="25" xfId="0" applyFont="1" applyBorder="1" applyAlignment="1">
      <alignment horizontal="center" wrapText="1"/>
    </xf>
    <xf numFmtId="0" fontId="39" fillId="0" borderId="6" xfId="0" applyFont="1" applyBorder="1" applyAlignment="1">
      <alignment horizontal="center"/>
    </xf>
    <xf numFmtId="169" fontId="7" fillId="0" borderId="24" xfId="0" applyNumberFormat="1" applyFont="1" applyBorder="1"/>
    <xf numFmtId="169" fontId="7" fillId="0" borderId="6" xfId="0" applyNumberFormat="1" applyFont="1" applyBorder="1"/>
    <xf numFmtId="0" fontId="55" fillId="0" borderId="0" xfId="0" applyFont="1"/>
    <xf numFmtId="0" fontId="58" fillId="0" borderId="0" xfId="0" applyFont="1" applyFill="1"/>
    <xf numFmtId="0" fontId="7" fillId="0" borderId="14" xfId="0" applyFont="1" applyFill="1" applyBorder="1" applyAlignment="1">
      <alignment horizontal="right"/>
    </xf>
    <xf numFmtId="0" fontId="7" fillId="0" borderId="16" xfId="0" applyFont="1" applyFill="1" applyBorder="1" applyAlignment="1">
      <alignment horizontal="right"/>
    </xf>
    <xf numFmtId="0" fontId="52" fillId="26" borderId="0" xfId="0" applyFont="1" applyFill="1" applyAlignment="1">
      <alignment horizontal="left"/>
    </xf>
    <xf numFmtId="0" fontId="39" fillId="0" borderId="22" xfId="0" applyFont="1" applyFill="1" applyBorder="1" applyAlignment="1"/>
    <xf numFmtId="0" fontId="61" fillId="27" borderId="22" xfId="0" applyFont="1" applyFill="1" applyBorder="1" applyAlignment="1">
      <alignment horizontal="center"/>
    </xf>
    <xf numFmtId="0" fontId="39" fillId="0" borderId="0" xfId="0" quotePrefix="1" applyFont="1" applyAlignment="1">
      <alignment horizontal="left"/>
    </xf>
    <xf numFmtId="0" fontId="68" fillId="0" borderId="0" xfId="0" applyFont="1"/>
    <xf numFmtId="0" fontId="7" fillId="0" borderId="0" xfId="0" applyFont="1" applyAlignment="1">
      <alignment horizontal="left"/>
    </xf>
    <xf numFmtId="0" fontId="50" fillId="0" borderId="0" xfId="0" quotePrefix="1" applyFont="1" applyAlignment="1">
      <alignment horizontal="left"/>
    </xf>
    <xf numFmtId="0" fontId="46" fillId="0" borderId="0" xfId="0" quotePrefix="1" applyFont="1" applyAlignment="1">
      <alignment horizontal="center"/>
    </xf>
    <xf numFmtId="170" fontId="46" fillId="0" borderId="0" xfId="0" quotePrefix="1" applyNumberFormat="1" applyFont="1" applyBorder="1" applyAlignment="1">
      <alignment horizontal="center"/>
    </xf>
    <xf numFmtId="0" fontId="52" fillId="0" borderId="0" xfId="0" applyFont="1" applyAlignment="1">
      <alignment horizontal="left"/>
    </xf>
    <xf numFmtId="0" fontId="55" fillId="0" borderId="0" xfId="0" applyFont="1" applyFill="1" applyAlignment="1"/>
    <xf numFmtId="0" fontId="55" fillId="0" borderId="0" xfId="0" quotePrefix="1" applyFont="1" applyAlignment="1">
      <alignment horizontal="left"/>
    </xf>
    <xf numFmtId="0" fontId="67" fillId="0" borderId="0" xfId="0" applyFont="1" applyFill="1" applyAlignment="1">
      <alignment horizontal="right"/>
    </xf>
    <xf numFmtId="0" fontId="46" fillId="0" borderId="0" xfId="0" quotePrefix="1" applyFont="1" applyAlignment="1">
      <alignment horizontal="right"/>
    </xf>
    <xf numFmtId="0" fontId="39" fillId="0" borderId="28" xfId="0" applyFont="1" applyFill="1" applyBorder="1" applyAlignment="1">
      <alignment horizontal="center"/>
    </xf>
    <xf numFmtId="168" fontId="7" fillId="0" borderId="29" xfId="191" applyFont="1" applyBorder="1" applyAlignment="1" applyProtection="1">
      <alignment horizontal="center"/>
      <protection locked="0"/>
    </xf>
    <xf numFmtId="168" fontId="7" fillId="0" borderId="29" xfId="191" quotePrefix="1" applyFont="1" applyBorder="1" applyAlignment="1" applyProtection="1">
      <alignment horizontal="center"/>
      <protection locked="0"/>
    </xf>
    <xf numFmtId="3" fontId="7" fillId="0" borderId="30" xfId="191" applyNumberFormat="1" applyFont="1" applyBorder="1" applyAlignment="1" applyProtection="1">
      <alignment horizontal="center"/>
      <protection locked="0"/>
    </xf>
    <xf numFmtId="0" fontId="55" fillId="0" borderId="24" xfId="0" applyFont="1" applyBorder="1"/>
    <xf numFmtId="169" fontId="7" fillId="0" borderId="13" xfId="86" quotePrefix="1" applyNumberFormat="1" applyFont="1" applyBorder="1" applyAlignment="1">
      <alignment horizontal="right"/>
    </xf>
    <xf numFmtId="0" fontId="57" fillId="0" borderId="31" xfId="86" applyNumberFormat="1" applyFont="1" applyFill="1" applyBorder="1" applyAlignment="1">
      <alignment horizontal="left"/>
    </xf>
    <xf numFmtId="169" fontId="7" fillId="0" borderId="32" xfId="86" quotePrefix="1" applyNumberFormat="1" applyFont="1" applyBorder="1" applyAlignment="1">
      <alignment horizontal="right"/>
    </xf>
    <xf numFmtId="169" fontId="55" fillId="0" borderId="26" xfId="86" applyNumberFormat="1" applyFont="1" applyBorder="1"/>
    <xf numFmtId="0" fontId="7" fillId="0" borderId="15" xfId="0" quotePrefix="1" applyFont="1" applyBorder="1" applyAlignment="1">
      <alignment horizontal="right"/>
    </xf>
    <xf numFmtId="169" fontId="54" fillId="0" borderId="25" xfId="86" applyNumberFormat="1" applyFont="1" applyFill="1" applyBorder="1"/>
    <xf numFmtId="170" fontId="54" fillId="26" borderId="24" xfId="0" applyNumberFormat="1" applyFont="1" applyFill="1" applyBorder="1"/>
    <xf numFmtId="170" fontId="54" fillId="26" borderId="25" xfId="0" applyNumberFormat="1" applyFont="1" applyFill="1" applyBorder="1"/>
    <xf numFmtId="170" fontId="54" fillId="26" borderId="26" xfId="0" applyNumberFormat="1" applyFont="1" applyFill="1" applyBorder="1"/>
    <xf numFmtId="170" fontId="54" fillId="0" borderId="24" xfId="0" applyNumberFormat="1" applyFont="1" applyFill="1" applyBorder="1"/>
    <xf numFmtId="169" fontId="39" fillId="0" borderId="24" xfId="86" quotePrefix="1" applyNumberFormat="1" applyFont="1" applyBorder="1" applyAlignment="1">
      <alignment horizontal="center" wrapText="1"/>
    </xf>
    <xf numFmtId="169" fontId="39" fillId="0" borderId="24" xfId="86" applyNumberFormat="1" applyFont="1" applyFill="1" applyBorder="1" applyAlignment="1">
      <alignment horizontal="center" wrapText="1"/>
    </xf>
    <xf numFmtId="169" fontId="39" fillId="0" borderId="26" xfId="86" applyNumberFormat="1" applyFont="1" applyFill="1" applyBorder="1" applyAlignment="1">
      <alignment horizontal="center"/>
    </xf>
    <xf numFmtId="169" fontId="39" fillId="0" borderId="15" xfId="86" applyNumberFormat="1" applyFont="1" applyFill="1" applyBorder="1" applyAlignment="1">
      <alignment horizontal="center"/>
    </xf>
    <xf numFmtId="169" fontId="54" fillId="0" borderId="14" xfId="86" applyNumberFormat="1" applyFont="1" applyFill="1" applyBorder="1"/>
    <xf numFmtId="169" fontId="54" fillId="0" borderId="26" xfId="86" applyNumberFormat="1" applyFont="1" applyFill="1" applyBorder="1"/>
    <xf numFmtId="169" fontId="54" fillId="0" borderId="16" xfId="86" applyNumberFormat="1" applyFont="1" applyFill="1" applyBorder="1"/>
    <xf numFmtId="0" fontId="39" fillId="0" borderId="26" xfId="0" applyFont="1" applyBorder="1" applyAlignment="1">
      <alignment horizontal="center" wrapText="1"/>
    </xf>
    <xf numFmtId="169" fontId="39" fillId="0" borderId="0" xfId="86" quotePrefix="1" applyNumberFormat="1" applyFont="1" applyBorder="1" applyAlignment="1">
      <alignment horizontal="center" wrapText="1"/>
    </xf>
    <xf numFmtId="169" fontId="39" fillId="0" borderId="16" xfId="86" applyNumberFormat="1" applyFont="1" applyFill="1" applyBorder="1" applyAlignment="1">
      <alignment horizontal="center"/>
    </xf>
    <xf numFmtId="169" fontId="39" fillId="0" borderId="19" xfId="86" applyNumberFormat="1" applyFont="1" applyFill="1" applyBorder="1" applyAlignment="1">
      <alignment horizontal="center" wrapText="1"/>
    </xf>
    <xf numFmtId="169" fontId="39" fillId="0" borderId="19" xfId="86" applyNumberFormat="1" applyFont="1" applyBorder="1" applyAlignment="1">
      <alignment horizontal="center" wrapText="1"/>
    </xf>
    <xf numFmtId="0" fontId="0" fillId="0" borderId="0" xfId="0" applyProtection="1"/>
    <xf numFmtId="0" fontId="14" fillId="0" borderId="0" xfId="0" applyNumberFormat="1" applyFont="1" applyAlignment="1" applyProtection="1">
      <alignment horizontal="center"/>
    </xf>
    <xf numFmtId="3" fontId="14" fillId="0" borderId="0" xfId="0" quotePrefix="1" applyNumberFormat="1" applyFont="1" applyFill="1" applyAlignment="1" applyProtection="1">
      <alignment horizontal="center"/>
    </xf>
    <xf numFmtId="0" fontId="14" fillId="0" borderId="0" xfId="0" applyNumberFormat="1" applyFont="1" applyFill="1" applyAlignment="1" applyProtection="1">
      <alignment horizontal="center"/>
    </xf>
    <xf numFmtId="168" fontId="14" fillId="0" borderId="0" xfId="191" applyFont="1" applyFill="1" applyAlignment="1" applyProtection="1"/>
    <xf numFmtId="49" fontId="70" fillId="0" borderId="0" xfId="191" applyNumberFormat="1" applyFont="1" applyFill="1" applyAlignment="1" applyProtection="1">
      <alignment horizontal="center"/>
    </xf>
    <xf numFmtId="3" fontId="6" fillId="0" borderId="0" xfId="0" applyNumberFormat="1" applyFont="1" applyAlignment="1" applyProtection="1">
      <alignment horizontal="center"/>
    </xf>
    <xf numFmtId="0" fontId="0" fillId="0" borderId="0" xfId="0" applyFill="1" applyProtection="1"/>
    <xf numFmtId="0" fontId="0" fillId="0" borderId="0" xfId="0" applyAlignment="1" applyProtection="1">
      <alignment horizontal="center" vertical="center"/>
    </xf>
    <xf numFmtId="0" fontId="1" fillId="0" borderId="0" xfId="0" applyFont="1" applyAlignment="1" applyProtection="1">
      <alignment horizontal="center" vertical="center"/>
    </xf>
    <xf numFmtId="0" fontId="0" fillId="0" borderId="0" xfId="0" quotePrefix="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center"/>
    </xf>
    <xf numFmtId="0" fontId="39" fillId="0" borderId="11" xfId="0" applyFont="1" applyBorder="1" applyAlignment="1" applyProtection="1">
      <alignment horizontal="centerContinuous"/>
    </xf>
    <xf numFmtId="0" fontId="39" fillId="0" borderId="11" xfId="0" applyFont="1" applyBorder="1" applyAlignment="1" applyProtection="1">
      <alignment horizontal="left"/>
    </xf>
    <xf numFmtId="0" fontId="53" fillId="0" borderId="0" xfId="0" quotePrefix="1" applyFont="1" applyAlignment="1" applyProtection="1">
      <alignment horizontal="left"/>
    </xf>
    <xf numFmtId="0" fontId="39" fillId="0" borderId="0" xfId="0" applyFont="1" applyBorder="1" applyAlignment="1" applyProtection="1">
      <alignment horizontal="center"/>
    </xf>
    <xf numFmtId="0" fontId="65" fillId="0" borderId="11" xfId="0" quotePrefix="1" applyFont="1" applyBorder="1" applyAlignment="1" applyProtection="1">
      <alignment horizontal="centerContinuous"/>
    </xf>
    <xf numFmtId="0" fontId="65" fillId="0" borderId="0" xfId="0" quotePrefix="1" applyFont="1" applyBorder="1" applyAlignment="1" applyProtection="1">
      <alignment horizontal="centerContinuous"/>
    </xf>
    <xf numFmtId="0" fontId="65" fillId="0" borderId="11" xfId="0" applyFont="1" applyBorder="1" applyAlignment="1" applyProtection="1">
      <alignment horizontal="centerContinuous"/>
    </xf>
    <xf numFmtId="0" fontId="71" fillId="0" borderId="0" xfId="0" applyFont="1" applyFill="1" applyProtection="1"/>
    <xf numFmtId="0" fontId="65" fillId="0" borderId="0" xfId="0" applyFont="1" applyAlignment="1" applyProtection="1">
      <alignment horizontal="center" wrapText="1"/>
    </xf>
    <xf numFmtId="0" fontId="65" fillId="0" borderId="0" xfId="0" applyFont="1" applyAlignment="1" applyProtection="1">
      <alignment horizontal="center"/>
    </xf>
    <xf numFmtId="0" fontId="65" fillId="0" borderId="0" xfId="0" applyFont="1" applyBorder="1" applyAlignment="1" applyProtection="1">
      <alignment horizontal="center" wrapText="1"/>
    </xf>
    <xf numFmtId="0" fontId="65" fillId="0" borderId="0" xfId="0" quotePrefix="1" applyFont="1" applyBorder="1" applyAlignment="1" applyProtection="1">
      <alignment horizontal="center" wrapText="1"/>
    </xf>
    <xf numFmtId="0" fontId="65" fillId="0" borderId="0" xfId="0" applyFont="1" applyBorder="1" applyAlignment="1" applyProtection="1">
      <alignment horizontal="center"/>
    </xf>
    <xf numFmtId="0" fontId="65" fillId="0" borderId="0" xfId="0" quotePrefix="1" applyFont="1" applyFill="1" applyBorder="1" applyAlignment="1" applyProtection="1">
      <alignment horizontal="center" wrapText="1"/>
    </xf>
    <xf numFmtId="0" fontId="65" fillId="0" borderId="0" xfId="0" applyFont="1" applyFill="1" applyBorder="1" applyAlignment="1" applyProtection="1">
      <alignment horizontal="center" wrapText="1"/>
    </xf>
    <xf numFmtId="0" fontId="65" fillId="0" borderId="0" xfId="0" applyFont="1" applyFill="1" applyBorder="1" applyAlignment="1" applyProtection="1">
      <alignment horizontal="center"/>
    </xf>
    <xf numFmtId="0" fontId="0" fillId="0" borderId="41" xfId="0" applyBorder="1" applyAlignment="1" applyProtection="1">
      <alignment horizontal="center" wrapText="1"/>
    </xf>
    <xf numFmtId="0" fontId="39" fillId="0" borderId="0" xfId="0" applyFont="1" applyProtection="1"/>
    <xf numFmtId="0" fontId="0" fillId="0" borderId="25" xfId="0" applyBorder="1" applyProtection="1"/>
    <xf numFmtId="0" fontId="7" fillId="0" borderId="0" xfId="0" applyFont="1" applyFill="1" applyAlignment="1" applyProtection="1">
      <alignment vertical="center" wrapText="1"/>
    </xf>
    <xf numFmtId="0" fontId="7" fillId="0" borderId="0" xfId="0" applyFont="1" applyFill="1" applyAlignment="1" applyProtection="1">
      <alignment horizontal="center" vertical="center"/>
    </xf>
    <xf numFmtId="169" fontId="1" fillId="0" borderId="0" xfId="86" applyNumberFormat="1" applyFont="1" applyFill="1" applyAlignment="1" applyProtection="1">
      <alignment vertical="center"/>
    </xf>
    <xf numFmtId="169" fontId="1" fillId="0" borderId="0" xfId="86" applyNumberFormat="1" applyFill="1" applyAlignment="1" applyProtection="1">
      <alignment vertical="center"/>
    </xf>
    <xf numFmtId="0" fontId="0" fillId="0" borderId="0" xfId="0" applyFill="1" applyAlignment="1" applyProtection="1">
      <alignment vertical="center"/>
    </xf>
    <xf numFmtId="169" fontId="101" fillId="0" borderId="0" xfId="86" applyNumberFormat="1" applyFont="1" applyFill="1" applyAlignment="1" applyProtection="1">
      <alignment vertical="center"/>
    </xf>
    <xf numFmtId="169" fontId="64" fillId="26" borderId="0" xfId="86" applyNumberFormat="1" applyFont="1" applyFill="1" applyAlignment="1" applyProtection="1">
      <alignment vertical="center"/>
    </xf>
    <xf numFmtId="169" fontId="1" fillId="0" borderId="0" xfId="86" applyNumberFormat="1" applyAlignment="1" applyProtection="1">
      <alignment vertical="center"/>
    </xf>
    <xf numFmtId="169" fontId="39" fillId="0" borderId="0" xfId="86" applyNumberFormat="1" applyFont="1" applyAlignment="1" applyProtection="1">
      <alignment horizontal="center" vertical="center"/>
    </xf>
    <xf numFmtId="169" fontId="0" fillId="0" borderId="25" xfId="0" applyNumberFormat="1" applyBorder="1" applyProtection="1"/>
    <xf numFmtId="169" fontId="39" fillId="0" borderId="0" xfId="86" applyNumberFormat="1" applyFont="1" applyAlignment="1" applyProtection="1">
      <alignment vertical="center"/>
    </xf>
    <xf numFmtId="169" fontId="1" fillId="0" borderId="0" xfId="86" applyNumberFormat="1" applyFont="1" applyFill="1" applyBorder="1" applyAlignment="1" applyProtection="1">
      <alignment vertical="center"/>
    </xf>
    <xf numFmtId="169" fontId="1" fillId="0" borderId="0" xfId="86" applyNumberFormat="1" applyFill="1" applyBorder="1" applyAlignment="1" applyProtection="1">
      <alignment vertical="center"/>
    </xf>
    <xf numFmtId="0" fontId="0" fillId="0" borderId="0" xfId="0" applyFill="1" applyBorder="1" applyAlignment="1" applyProtection="1">
      <alignment vertical="center"/>
    </xf>
    <xf numFmtId="169" fontId="64" fillId="26" borderId="0" xfId="86" applyNumberFormat="1" applyFont="1" applyFill="1" applyBorder="1" applyAlignment="1" applyProtection="1">
      <alignment vertical="center"/>
    </xf>
    <xf numFmtId="169" fontId="1" fillId="0" borderId="0" xfId="86" applyNumberFormat="1" applyBorder="1" applyAlignment="1" applyProtection="1">
      <alignment vertical="center"/>
    </xf>
    <xf numFmtId="169" fontId="39" fillId="0" borderId="0" xfId="86" applyNumberFormat="1" applyFont="1" applyBorder="1" applyAlignment="1" applyProtection="1">
      <alignment vertical="center"/>
    </xf>
    <xf numFmtId="0" fontId="7" fillId="0" borderId="0" xfId="0" quotePrefix="1" applyFont="1" applyAlignment="1" applyProtection="1">
      <alignment horizontal="center" vertical="center"/>
    </xf>
    <xf numFmtId="169" fontId="1" fillId="0" borderId="0" xfId="86" applyNumberFormat="1" applyFont="1" applyBorder="1" applyAlignment="1" applyProtection="1">
      <alignment vertical="center"/>
    </xf>
    <xf numFmtId="0" fontId="39" fillId="0" borderId="2" xfId="0" applyFont="1" applyBorder="1" applyAlignment="1" applyProtection="1">
      <alignment horizontal="center" vertical="center"/>
    </xf>
    <xf numFmtId="0" fontId="0" fillId="0" borderId="2" xfId="0" applyBorder="1" applyAlignment="1" applyProtection="1">
      <alignment horizontal="center" vertical="center"/>
    </xf>
    <xf numFmtId="169" fontId="1" fillId="0" borderId="2" xfId="86" applyNumberFormat="1" applyBorder="1" applyAlignment="1" applyProtection="1">
      <alignment vertical="center"/>
    </xf>
    <xf numFmtId="169" fontId="64" fillId="26" borderId="2" xfId="86" applyNumberFormat="1" applyFont="1" applyFill="1" applyBorder="1" applyAlignment="1" applyProtection="1">
      <alignment vertical="center"/>
    </xf>
    <xf numFmtId="169" fontId="39" fillId="0" borderId="25" xfId="0" applyNumberFormat="1" applyFont="1" applyBorder="1" applyProtection="1"/>
    <xf numFmtId="0" fontId="64" fillId="0" borderId="0" xfId="0" quotePrefix="1" applyFont="1" applyAlignment="1" applyProtection="1">
      <alignment horizontal="left"/>
    </xf>
    <xf numFmtId="0" fontId="7" fillId="0" borderId="0" xfId="0" applyFont="1" applyAlignment="1" applyProtection="1">
      <alignment vertical="center"/>
    </xf>
    <xf numFmtId="169" fontId="72" fillId="0" borderId="0" xfId="86" applyNumberFormat="1" applyFont="1" applyAlignment="1" applyProtection="1">
      <alignment horizontal="center" vertical="center"/>
    </xf>
    <xf numFmtId="43" fontId="53" fillId="0" borderId="0" xfId="86" applyFont="1" applyAlignment="1" applyProtection="1">
      <alignment horizontal="center" vertical="center"/>
    </xf>
    <xf numFmtId="43" fontId="74" fillId="0" borderId="0" xfId="86" applyFont="1" applyAlignment="1" applyProtection="1">
      <alignment horizontal="left" vertical="center"/>
    </xf>
    <xf numFmtId="169" fontId="74" fillId="0" borderId="0" xfId="86" applyNumberFormat="1" applyFont="1" applyAlignment="1" applyProtection="1">
      <alignment horizontal="center" vertical="center"/>
    </xf>
    <xf numFmtId="43" fontId="1" fillId="0" borderId="0" xfId="86" applyAlignment="1" applyProtection="1">
      <alignment vertical="center"/>
    </xf>
    <xf numFmtId="169" fontId="0" fillId="0" borderId="26" xfId="0" applyNumberFormat="1" applyBorder="1" applyProtection="1"/>
    <xf numFmtId="0" fontId="7" fillId="0" borderId="0" xfId="0" quotePrefix="1" applyFont="1" applyAlignment="1" applyProtection="1">
      <alignment horizontal="left" vertical="center"/>
    </xf>
    <xf numFmtId="174" fontId="5" fillId="0" borderId="0" xfId="0" applyNumberFormat="1" applyFont="1" applyAlignment="1" applyProtection="1">
      <alignment horizontal="center" vertical="center"/>
    </xf>
    <xf numFmtId="0" fontId="0" fillId="0" borderId="0" xfId="0" quotePrefix="1" applyAlignment="1" applyProtection="1">
      <alignment horizontal="left" vertical="center"/>
    </xf>
    <xf numFmtId="169" fontId="64" fillId="26" borderId="0" xfId="0" applyNumberFormat="1" applyFont="1" applyFill="1" applyAlignment="1" applyProtection="1">
      <alignment vertical="center"/>
    </xf>
    <xf numFmtId="169" fontId="1" fillId="0" borderId="0" xfId="86" applyNumberFormat="1" applyProtection="1"/>
    <xf numFmtId="164" fontId="1" fillId="0" borderId="0" xfId="0" applyNumberFormat="1" applyFont="1" applyFill="1" applyProtection="1"/>
    <xf numFmtId="43" fontId="1" fillId="0" borderId="0" xfId="86" applyProtection="1"/>
    <xf numFmtId="0" fontId="0" fillId="0" borderId="33" xfId="0" applyBorder="1" applyProtection="1"/>
    <xf numFmtId="0" fontId="0" fillId="0" borderId="2" xfId="0" applyBorder="1" applyProtection="1"/>
    <xf numFmtId="169" fontId="1" fillId="0" borderId="2" xfId="86" applyNumberFormat="1" applyBorder="1" applyProtection="1"/>
    <xf numFmtId="0" fontId="0" fillId="0" borderId="27" xfId="0" applyBorder="1" applyProtection="1"/>
    <xf numFmtId="0" fontId="0" fillId="0" borderId="34" xfId="0" applyBorder="1" applyProtection="1"/>
    <xf numFmtId="0" fontId="0" fillId="0" borderId="0" xfId="0" applyBorder="1" applyProtection="1"/>
    <xf numFmtId="0" fontId="0" fillId="0" borderId="0" xfId="0" applyBorder="1" applyAlignment="1" applyProtection="1">
      <alignment horizontal="center"/>
    </xf>
    <xf numFmtId="49" fontId="70" fillId="0" borderId="0" xfId="191" applyNumberFormat="1" applyFont="1" applyFill="1" applyBorder="1" applyAlignment="1" applyProtection="1">
      <alignment horizontal="center"/>
    </xf>
    <xf numFmtId="0" fontId="0" fillId="0" borderId="35" xfId="0" applyBorder="1" applyAlignment="1" applyProtection="1">
      <alignment horizontal="center"/>
    </xf>
    <xf numFmtId="0" fontId="0" fillId="0" borderId="36" xfId="0" applyBorder="1" applyProtection="1"/>
    <xf numFmtId="0" fontId="0" fillId="0" borderId="11" xfId="0" applyBorder="1" applyProtection="1"/>
    <xf numFmtId="169" fontId="1" fillId="0" borderId="11" xfId="86" applyNumberFormat="1" applyBorder="1" applyProtection="1"/>
    <xf numFmtId="0" fontId="0" fillId="0" borderId="37" xfId="0" applyBorder="1" applyProtection="1"/>
    <xf numFmtId="0" fontId="0" fillId="0" borderId="0" xfId="0" quotePrefix="1" applyAlignment="1" applyProtection="1">
      <alignment horizontal="center"/>
    </xf>
    <xf numFmtId="43" fontId="0" fillId="0" borderId="0" xfId="86" applyFont="1" applyProtection="1"/>
    <xf numFmtId="43" fontId="0" fillId="0" borderId="0" xfId="0" applyNumberFormat="1" applyProtection="1"/>
    <xf numFmtId="43" fontId="0" fillId="0" borderId="0" xfId="196" applyNumberFormat="1" applyFont="1" applyProtection="1"/>
    <xf numFmtId="0" fontId="39" fillId="0" borderId="0" xfId="0" quotePrefix="1" applyFont="1" applyAlignment="1" applyProtection="1">
      <alignment horizontal="left"/>
    </xf>
    <xf numFmtId="0" fontId="47" fillId="0" borderId="0" xfId="0" applyFont="1" applyFill="1" applyProtection="1"/>
    <xf numFmtId="170" fontId="0" fillId="0" borderId="0" xfId="106" applyNumberFormat="1" applyFont="1" applyProtection="1"/>
    <xf numFmtId="0" fontId="9" fillId="0" borderId="0" xfId="0" applyFont="1" applyAlignment="1" applyProtection="1">
      <alignment horizontal="left"/>
    </xf>
    <xf numFmtId="0" fontId="7" fillId="0" borderId="0" xfId="191" applyNumberFormat="1" applyFont="1" applyBorder="1" applyAlignment="1" applyProtection="1"/>
    <xf numFmtId="3" fontId="7" fillId="0" borderId="0" xfId="191" applyNumberFormat="1" applyFont="1" applyAlignment="1" applyProtection="1"/>
    <xf numFmtId="10" fontId="7" fillId="0" borderId="0" xfId="191" applyNumberFormat="1" applyFont="1" applyAlignment="1" applyProtection="1"/>
    <xf numFmtId="166" fontId="7" fillId="0" borderId="0" xfId="191" applyNumberFormat="1" applyFont="1" applyAlignment="1" applyProtection="1"/>
    <xf numFmtId="43" fontId="7" fillId="0" borderId="0" xfId="86" applyFont="1" applyAlignment="1" applyProtection="1"/>
    <xf numFmtId="168" fontId="7" fillId="0" borderId="0" xfId="191" applyFont="1" applyAlignment="1" applyProtection="1"/>
    <xf numFmtId="168" fontId="7" fillId="0" borderId="0" xfId="191" applyFont="1" applyBorder="1" applyAlignment="1" applyProtection="1"/>
    <xf numFmtId="0" fontId="7" fillId="0" borderId="0" xfId="0" applyFont="1" applyProtection="1"/>
    <xf numFmtId="0" fontId="7" fillId="0" borderId="0" xfId="0" applyFont="1" applyFill="1" applyProtection="1"/>
    <xf numFmtId="0" fontId="7" fillId="26" borderId="0" xfId="86" applyNumberFormat="1" applyFont="1" applyFill="1" applyAlignment="1" applyProtection="1"/>
    <xf numFmtId="10" fontId="7" fillId="0" borderId="0" xfId="191" applyNumberFormat="1" applyFont="1" applyFill="1" applyAlignment="1" applyProtection="1">
      <alignment horizontal="right"/>
    </xf>
    <xf numFmtId="3" fontId="39" fillId="0" borderId="0" xfId="191" applyNumberFormat="1" applyFont="1" applyAlignment="1" applyProtection="1"/>
    <xf numFmtId="0" fontId="7" fillId="0" borderId="0" xfId="0" applyFont="1" applyFill="1" applyBorder="1" applyProtection="1"/>
    <xf numFmtId="3" fontId="48" fillId="0" borderId="0" xfId="191" applyNumberFormat="1" applyFont="1" applyAlignment="1" applyProtection="1">
      <alignment horizontal="center"/>
    </xf>
    <xf numFmtId="10" fontId="48" fillId="0" borderId="0" xfId="191" applyNumberFormat="1" applyFont="1" applyFill="1" applyAlignment="1" applyProtection="1">
      <alignment horizontal="center"/>
    </xf>
    <xf numFmtId="0" fontId="7" fillId="0" borderId="0" xfId="191" applyNumberFormat="1" applyFont="1" applyFill="1" applyBorder="1" applyAlignment="1" applyProtection="1">
      <alignment horizontal="right"/>
    </xf>
    <xf numFmtId="10" fontId="0" fillId="0" borderId="0" xfId="0" applyNumberFormat="1" applyAlignment="1" applyProtection="1">
      <alignment horizontal="center"/>
    </xf>
    <xf numFmtId="10" fontId="7" fillId="0" borderId="0" xfId="196" applyNumberFormat="1" applyFont="1" applyAlignment="1" applyProtection="1">
      <alignment horizontal="center"/>
    </xf>
    <xf numFmtId="10" fontId="7" fillId="0" borderId="0" xfId="196" applyNumberFormat="1" applyFont="1" applyFill="1" applyAlignment="1" applyProtection="1"/>
    <xf numFmtId="165" fontId="7" fillId="0" borderId="0" xfId="191" applyNumberFormat="1" applyFont="1" applyAlignment="1" applyProtection="1">
      <alignment horizontal="center"/>
    </xf>
    <xf numFmtId="165" fontId="7" fillId="0" borderId="0" xfId="191" applyNumberFormat="1" applyFont="1" applyBorder="1" applyAlignment="1" applyProtection="1">
      <alignment horizontal="center"/>
    </xf>
    <xf numFmtId="168" fontId="7" fillId="0" borderId="13" xfId="191" applyFont="1" applyBorder="1" applyAlignment="1" applyProtection="1"/>
    <xf numFmtId="0" fontId="7" fillId="0" borderId="0" xfId="191" applyNumberFormat="1" applyFont="1" applyBorder="1" applyAlignment="1" applyProtection="1">
      <alignment horizontal="center"/>
    </xf>
    <xf numFmtId="3" fontId="7" fillId="0" borderId="14" xfId="191" applyNumberFormat="1" applyFont="1" applyBorder="1" applyAlignment="1" applyProtection="1"/>
    <xf numFmtId="41" fontId="7" fillId="0" borderId="0" xfId="191" applyNumberFormat="1" applyFont="1" applyAlignment="1" applyProtection="1"/>
    <xf numFmtId="41" fontId="7" fillId="0" borderId="0" xfId="191" applyNumberFormat="1" applyFont="1" applyAlignment="1" applyProtection="1">
      <alignment horizontal="center"/>
    </xf>
    <xf numFmtId="41" fontId="7" fillId="0" borderId="0" xfId="191" applyNumberFormat="1" applyFont="1" applyBorder="1" applyAlignment="1" applyProtection="1">
      <alignment horizontal="center"/>
    </xf>
    <xf numFmtId="0" fontId="0" fillId="0" borderId="13" xfId="0" applyBorder="1" applyProtection="1"/>
    <xf numFmtId="0" fontId="0" fillId="0" borderId="14" xfId="0" applyBorder="1" applyProtection="1"/>
    <xf numFmtId="0" fontId="7" fillId="0" borderId="0" xfId="191" applyNumberFormat="1" applyFont="1" applyBorder="1" applyAlignment="1" applyProtection="1">
      <alignment horizontal="right"/>
    </xf>
    <xf numFmtId="10" fontId="48" fillId="0" borderId="0" xfId="196" applyNumberFormat="1" applyFont="1" applyFill="1" applyAlignment="1" applyProtection="1"/>
    <xf numFmtId="165" fontId="15" fillId="0" borderId="15" xfId="191" applyNumberFormat="1" applyFont="1" applyBorder="1" applyAlignment="1" applyProtection="1">
      <alignment horizontal="center"/>
    </xf>
    <xf numFmtId="0" fontId="7" fillId="27" borderId="6" xfId="191" applyNumberFormat="1" applyFont="1" applyFill="1" applyBorder="1" applyAlignment="1" applyProtection="1">
      <alignment horizontal="center"/>
    </xf>
    <xf numFmtId="169" fontId="7" fillId="0" borderId="6" xfId="191" applyNumberFormat="1" applyFont="1" applyBorder="1" applyAlignment="1" applyProtection="1">
      <alignment horizontal="center"/>
    </xf>
    <xf numFmtId="170" fontId="0" fillId="0" borderId="16" xfId="0" applyNumberFormat="1" applyBorder="1" applyProtection="1"/>
    <xf numFmtId="10" fontId="7" fillId="0" borderId="0" xfId="196" applyNumberFormat="1" applyFont="1" applyAlignment="1" applyProtection="1">
      <alignment horizontal="right"/>
    </xf>
    <xf numFmtId="0" fontId="63" fillId="0" borderId="0" xfId="0" applyFont="1" applyAlignment="1" applyProtection="1">
      <alignment horizontal="center"/>
    </xf>
    <xf numFmtId="10" fontId="7" fillId="0" borderId="0" xfId="191" applyNumberFormat="1" applyFont="1" applyFill="1" applyAlignment="1" applyProtection="1">
      <alignment horizontal="left"/>
    </xf>
    <xf numFmtId="41" fontId="7" fillId="0" borderId="0" xfId="191" applyNumberFormat="1" applyFont="1" applyBorder="1" applyAlignment="1" applyProtection="1"/>
    <xf numFmtId="41" fontId="7" fillId="0" borderId="0" xfId="191" applyNumberFormat="1" applyFont="1" applyFill="1" applyAlignment="1" applyProtection="1"/>
    <xf numFmtId="0" fontId="7" fillId="0" borderId="0" xfId="191" applyNumberFormat="1" applyFont="1" applyAlignment="1" applyProtection="1">
      <alignment horizontal="center"/>
    </xf>
    <xf numFmtId="169" fontId="0" fillId="0" borderId="0" xfId="0" applyNumberFormat="1" applyProtection="1"/>
    <xf numFmtId="0" fontId="7" fillId="0" borderId="0" xfId="0" applyFont="1" applyBorder="1" applyProtection="1"/>
    <xf numFmtId="41" fontId="7" fillId="0" borderId="0" xfId="191" quotePrefix="1" applyNumberFormat="1" applyFont="1" applyBorder="1" applyAlignment="1" applyProtection="1"/>
    <xf numFmtId="41" fontId="7" fillId="0" borderId="0" xfId="191" applyNumberFormat="1" applyFont="1" applyFill="1" applyBorder="1" applyAlignment="1" applyProtection="1">
      <alignment horizontal="right"/>
    </xf>
    <xf numFmtId="171" fontId="7" fillId="0" borderId="11" xfId="191" applyNumberFormat="1" applyFont="1" applyBorder="1" applyAlignment="1" applyProtection="1"/>
    <xf numFmtId="43" fontId="7" fillId="0" borderId="0" xfId="191" applyNumberFormat="1" applyFont="1" applyBorder="1" applyAlignment="1" applyProtection="1"/>
    <xf numFmtId="164" fontId="7" fillId="0" borderId="0" xfId="191" applyNumberFormat="1" applyFont="1" applyFill="1" applyBorder="1" applyAlignment="1" applyProtection="1">
      <alignment horizontal="left"/>
    </xf>
    <xf numFmtId="164" fontId="7" fillId="0" borderId="0" xfId="191" applyNumberFormat="1" applyFont="1" applyBorder="1" applyAlignment="1" applyProtection="1">
      <alignment horizontal="left"/>
    </xf>
    <xf numFmtId="3" fontId="7" fillId="0" borderId="0" xfId="191" applyNumberFormat="1" applyFont="1" applyAlignment="1" applyProtection="1">
      <alignment vertical="center" wrapText="1"/>
    </xf>
    <xf numFmtId="41" fontId="7" fillId="0" borderId="0" xfId="191" applyNumberFormat="1" applyFont="1" applyBorder="1" applyAlignment="1" applyProtection="1">
      <alignment vertical="center"/>
    </xf>
    <xf numFmtId="41" fontId="7" fillId="0" borderId="0" xfId="191" applyNumberFormat="1" applyFont="1" applyBorder="1" applyAlignment="1" applyProtection="1">
      <alignment horizontal="center" vertical="center"/>
    </xf>
    <xf numFmtId="0" fontId="39" fillId="0" borderId="0" xfId="0" applyFont="1" applyFill="1" applyBorder="1" applyProtection="1"/>
    <xf numFmtId="3" fontId="7" fillId="0" borderId="0" xfId="191" applyNumberFormat="1" applyFont="1" applyAlignment="1" applyProtection="1">
      <alignment horizontal="right"/>
    </xf>
    <xf numFmtId="41" fontId="7" fillId="0" borderId="0" xfId="191" applyNumberFormat="1" applyFont="1" applyAlignment="1" applyProtection="1">
      <alignment horizontal="right"/>
    </xf>
    <xf numFmtId="10" fontId="7" fillId="0" borderId="0" xfId="0" applyNumberFormat="1" applyFont="1" applyBorder="1" applyProtection="1"/>
    <xf numFmtId="0" fontId="7" fillId="0" borderId="0" xfId="0" applyFont="1" applyAlignment="1" applyProtection="1">
      <alignment horizontal="center"/>
    </xf>
    <xf numFmtId="10" fontId="7" fillId="0" borderId="0" xfId="191" applyNumberFormat="1" applyFont="1" applyFill="1" applyBorder="1" applyAlignment="1" applyProtection="1">
      <alignment horizontal="right"/>
    </xf>
    <xf numFmtId="169" fontId="7" fillId="0" borderId="0" xfId="86" applyNumberFormat="1" applyFont="1" applyBorder="1" applyProtection="1"/>
    <xf numFmtId="164" fontId="7" fillId="0" borderId="2" xfId="191" applyNumberFormat="1" applyFont="1" applyFill="1" applyBorder="1" applyAlignment="1" applyProtection="1">
      <alignment horizontal="left"/>
    </xf>
    <xf numFmtId="0" fontId="7" fillId="0" borderId="2" xfId="0" applyFont="1" applyFill="1" applyBorder="1" applyAlignment="1" applyProtection="1">
      <alignment horizontal="center"/>
    </xf>
    <xf numFmtId="41" fontId="7" fillId="0" borderId="2" xfId="0" applyNumberFormat="1" applyFont="1" applyBorder="1" applyProtection="1"/>
    <xf numFmtId="41" fontId="7" fillId="0" borderId="0" xfId="0" applyNumberFormat="1" applyFont="1" applyBorder="1" applyProtection="1"/>
    <xf numFmtId="0" fontId="7" fillId="0" borderId="0" xfId="0" applyFont="1" applyFill="1" applyBorder="1" applyAlignment="1" applyProtection="1"/>
    <xf numFmtId="3" fontId="14" fillId="0" borderId="0" xfId="191" applyNumberFormat="1" applyFont="1" applyFill="1" applyBorder="1" applyAlignment="1" applyProtection="1"/>
    <xf numFmtId="41" fontId="7" fillId="0" borderId="0" xfId="191" applyNumberFormat="1" applyFont="1" applyFill="1" applyBorder="1" applyAlignment="1" applyProtection="1"/>
    <xf numFmtId="3" fontId="14" fillId="0" borderId="0" xfId="191" applyNumberFormat="1" applyFont="1" applyFill="1" applyBorder="1" applyAlignment="1" applyProtection="1">
      <alignment horizontal="center"/>
    </xf>
    <xf numFmtId="41" fontId="14" fillId="0" borderId="0" xfId="191" applyNumberFormat="1" applyFont="1" applyFill="1" applyBorder="1" applyAlignment="1" applyProtection="1"/>
    <xf numFmtId="0" fontId="14" fillId="0" borderId="0" xfId="191" applyNumberFormat="1" applyFont="1" applyFill="1" applyBorder="1" applyAlignment="1" applyProtection="1"/>
    <xf numFmtId="0" fontId="6" fillId="0" borderId="0" xfId="0" applyFont="1" applyFill="1" applyProtection="1"/>
    <xf numFmtId="0" fontId="9" fillId="0" borderId="0" xfId="0" applyFont="1" applyFill="1" applyAlignment="1" applyProtection="1">
      <alignment horizontal="left"/>
    </xf>
    <xf numFmtId="3" fontId="7" fillId="0" borderId="0" xfId="191" applyNumberFormat="1" applyFont="1" applyFill="1" applyBorder="1" applyAlignment="1" applyProtection="1"/>
    <xf numFmtId="41" fontId="7" fillId="0" borderId="0" xfId="191" applyNumberFormat="1" applyFont="1" applyFill="1" applyBorder="1" applyAlignment="1" applyProtection="1">
      <alignment horizontal="center"/>
    </xf>
    <xf numFmtId="0" fontId="7" fillId="0" borderId="0" xfId="191" applyNumberFormat="1" applyFont="1" applyFill="1" applyBorder="1" applyProtection="1"/>
    <xf numFmtId="3" fontId="7" fillId="0" borderId="0" xfId="191" applyNumberFormat="1" applyFont="1" applyFill="1" applyBorder="1" applyAlignment="1" applyProtection="1">
      <alignment horizontal="center"/>
    </xf>
    <xf numFmtId="0" fontId="7" fillId="0" borderId="0" xfId="191" applyNumberFormat="1" applyFont="1" applyFill="1" applyBorder="1" applyAlignment="1" applyProtection="1"/>
    <xf numFmtId="41" fontId="7" fillId="0" borderId="11" xfId="191" applyNumberFormat="1" applyFont="1" applyFill="1" applyBorder="1" applyAlignment="1" applyProtection="1"/>
    <xf numFmtId="0" fontId="7" fillId="0" borderId="0" xfId="191" applyNumberFormat="1" applyFont="1" applyFill="1" applyBorder="1" applyAlignment="1" applyProtection="1">
      <alignment horizontal="center"/>
    </xf>
    <xf numFmtId="10" fontId="7" fillId="0" borderId="0" xfId="191" applyNumberFormat="1" applyFont="1" applyFill="1" applyBorder="1" applyAlignment="1" applyProtection="1"/>
    <xf numFmtId="167" fontId="7" fillId="0" borderId="0" xfId="191" applyNumberFormat="1" applyFont="1" applyFill="1" applyBorder="1" applyAlignment="1" applyProtection="1"/>
    <xf numFmtId="168" fontId="7" fillId="0" borderId="0" xfId="191" applyFont="1" applyFill="1" applyBorder="1" applyAlignment="1" applyProtection="1"/>
    <xf numFmtId="3" fontId="7" fillId="0" borderId="0" xfId="191" quotePrefix="1" applyNumberFormat="1" applyFont="1" applyFill="1" applyBorder="1" applyAlignment="1" applyProtection="1"/>
    <xf numFmtId="3" fontId="39" fillId="0" borderId="0" xfId="191" applyNumberFormat="1" applyFont="1" applyFill="1" applyBorder="1" applyAlignment="1" applyProtection="1">
      <alignment horizontal="right"/>
    </xf>
    <xf numFmtId="167" fontId="39" fillId="0" borderId="0" xfId="191" applyNumberFormat="1" applyFont="1" applyFill="1" applyBorder="1" applyAlignment="1" applyProtection="1"/>
    <xf numFmtId="3" fontId="39" fillId="0" borderId="0" xfId="191" quotePrefix="1" applyNumberFormat="1" applyFont="1" applyFill="1" applyBorder="1" applyAlignment="1" applyProtection="1"/>
    <xf numFmtId="0" fontId="7" fillId="0" borderId="0" xfId="0" applyFont="1" applyFill="1" applyBorder="1" applyAlignment="1" applyProtection="1">
      <alignment horizontal="center"/>
    </xf>
    <xf numFmtId="41" fontId="7" fillId="0" borderId="0" xfId="0" applyNumberFormat="1" applyFont="1" applyFill="1" applyBorder="1" applyProtection="1"/>
    <xf numFmtId="169" fontId="7" fillId="0" borderId="0" xfId="86" applyNumberFormat="1" applyFont="1" applyFill="1" applyBorder="1" applyProtection="1"/>
    <xf numFmtId="41" fontId="48" fillId="0" borderId="0" xfId="191" applyNumberFormat="1" applyFont="1" applyFill="1" applyBorder="1" applyAlignment="1" applyProtection="1"/>
    <xf numFmtId="169" fontId="7" fillId="0" borderId="0" xfId="86" applyNumberFormat="1" applyFont="1" applyProtection="1"/>
    <xf numFmtId="41" fontId="7" fillId="0" borderId="0" xfId="0" applyNumberFormat="1" applyFont="1" applyProtection="1"/>
    <xf numFmtId="0" fontId="0" fillId="0" borderId="0" xfId="0" applyAlignment="1" applyProtection="1"/>
    <xf numFmtId="41" fontId="7" fillId="0" borderId="11" xfId="0" applyNumberFormat="1" applyFont="1" applyFill="1" applyBorder="1" applyProtection="1"/>
    <xf numFmtId="41" fontId="48" fillId="0" borderId="0" xfId="0" applyNumberFormat="1" applyFont="1" applyProtection="1"/>
    <xf numFmtId="0" fontId="0" fillId="0" borderId="0" xfId="0" applyFill="1" applyAlignment="1" applyProtection="1"/>
    <xf numFmtId="41" fontId="7" fillId="0" borderId="0" xfId="0" applyNumberFormat="1" applyFont="1" applyFill="1" applyProtection="1"/>
    <xf numFmtId="169" fontId="7" fillId="0" borderId="0" xfId="86" applyNumberFormat="1" applyFont="1" applyFill="1" applyProtection="1"/>
    <xf numFmtId="0" fontId="7" fillId="0" borderId="0" xfId="0" applyFont="1" applyFill="1" applyAlignment="1" applyProtection="1">
      <alignment horizontal="center"/>
    </xf>
    <xf numFmtId="10" fontId="7" fillId="0" borderId="11" xfId="0" applyNumberFormat="1" applyFont="1" applyFill="1" applyBorder="1" applyProtection="1"/>
    <xf numFmtId="9" fontId="7" fillId="0" borderId="11" xfId="196" applyFont="1" applyFill="1" applyBorder="1" applyProtection="1"/>
    <xf numFmtId="169" fontId="7" fillId="0" borderId="11" xfId="86" applyNumberFormat="1" applyFont="1" applyFill="1" applyBorder="1" applyAlignment="1" applyProtection="1"/>
    <xf numFmtId="41" fontId="0" fillId="0" borderId="0" xfId="0" applyNumberFormat="1" applyProtection="1"/>
    <xf numFmtId="41" fontId="7" fillId="0" borderId="11" xfId="0" applyNumberFormat="1" applyFont="1" applyBorder="1" applyProtection="1"/>
    <xf numFmtId="10" fontId="7" fillId="0" borderId="0" xfId="0" applyNumberFormat="1" applyFont="1" applyProtection="1"/>
    <xf numFmtId="10" fontId="48" fillId="0" borderId="0" xfId="0" applyNumberFormat="1" applyFont="1" applyProtection="1"/>
    <xf numFmtId="169" fontId="7" fillId="0" borderId="11" xfId="86" applyNumberFormat="1" applyFont="1" applyFill="1" applyBorder="1" applyProtection="1"/>
    <xf numFmtId="169" fontId="7" fillId="0" borderId="0" xfId="87" applyNumberFormat="1" applyFont="1" applyFill="1" applyBorder="1" applyProtection="1"/>
    <xf numFmtId="173" fontId="7" fillId="0" borderId="0" xfId="0" applyNumberFormat="1" applyFont="1" applyProtection="1"/>
    <xf numFmtId="10" fontId="7" fillId="0" borderId="0" xfId="0" applyNumberFormat="1" applyFont="1" applyFill="1" applyProtection="1"/>
    <xf numFmtId="43" fontId="7" fillId="0" borderId="0" xfId="86" applyFont="1" applyProtection="1"/>
    <xf numFmtId="43" fontId="7" fillId="0" borderId="0" xfId="86" applyNumberFormat="1" applyFont="1" applyProtection="1"/>
    <xf numFmtId="169" fontId="7" fillId="0" borderId="0" xfId="0" applyNumberFormat="1" applyFont="1" applyProtection="1"/>
    <xf numFmtId="0" fontId="7" fillId="0" borderId="0" xfId="0" applyNumberFormat="1" applyFont="1" applyBorder="1" applyAlignment="1" applyProtection="1">
      <alignment horizontal="center"/>
    </xf>
    <xf numFmtId="169" fontId="7" fillId="0" borderId="0" xfId="0" applyNumberFormat="1" applyFont="1" applyBorder="1" applyProtection="1"/>
    <xf numFmtId="170" fontId="7" fillId="0" borderId="0" xfId="0" applyNumberFormat="1" applyFont="1" applyBorder="1" applyProtection="1"/>
    <xf numFmtId="0" fontId="65" fillId="0" borderId="0" xfId="0" quotePrefix="1" applyFont="1" applyAlignment="1" applyProtection="1">
      <alignment horizontal="left"/>
    </xf>
    <xf numFmtId="0" fontId="0" fillId="0" borderId="0" xfId="0" quotePrefix="1" applyAlignment="1" applyProtection="1">
      <alignment horizontal="left"/>
    </xf>
    <xf numFmtId="0" fontId="66" fillId="0" borderId="0" xfId="0" quotePrefix="1" applyFont="1" applyAlignment="1" applyProtection="1">
      <alignment horizontal="left"/>
    </xf>
    <xf numFmtId="0" fontId="7" fillId="0" borderId="17" xfId="0" quotePrefix="1" applyFont="1" applyFill="1" applyBorder="1" applyAlignment="1" applyProtection="1">
      <alignment horizontal="left"/>
    </xf>
    <xf numFmtId="0" fontId="0" fillId="0" borderId="48" xfId="0" quotePrefix="1" applyBorder="1" applyAlignment="1" applyProtection="1">
      <alignment horizontal="left"/>
    </xf>
    <xf numFmtId="0" fontId="54" fillId="0" borderId="39" xfId="0" quotePrefix="1" applyFont="1" applyFill="1" applyBorder="1" applyAlignment="1" applyProtection="1">
      <alignment horizontal="right"/>
    </xf>
    <xf numFmtId="0" fontId="83" fillId="0" borderId="14" xfId="0" applyFont="1" applyBorder="1" applyProtection="1"/>
    <xf numFmtId="10" fontId="1" fillId="0" borderId="0" xfId="0" applyNumberFormat="1" applyFont="1" applyFill="1" applyProtection="1"/>
    <xf numFmtId="169" fontId="54" fillId="0" borderId="39" xfId="86" applyNumberFormat="1" applyFont="1" applyFill="1" applyBorder="1" applyProtection="1"/>
    <xf numFmtId="179" fontId="54" fillId="0" borderId="39" xfId="196" applyNumberFormat="1" applyFont="1" applyFill="1" applyBorder="1" applyProtection="1"/>
    <xf numFmtId="0" fontId="83" fillId="0" borderId="49" xfId="0" applyFont="1" applyBorder="1" applyProtection="1"/>
    <xf numFmtId="0" fontId="83" fillId="0" borderId="47" xfId="0" applyFont="1" applyBorder="1" applyProtection="1"/>
    <xf numFmtId="41" fontId="54" fillId="0" borderId="39" xfId="0" applyNumberFormat="1" applyFont="1" applyFill="1" applyBorder="1" applyProtection="1"/>
    <xf numFmtId="3" fontId="54" fillId="0" borderId="43" xfId="0" applyNumberFormat="1" applyFont="1" applyBorder="1" applyProtection="1"/>
    <xf numFmtId="10" fontId="54" fillId="0" borderId="13" xfId="0" applyNumberFormat="1" applyFont="1" applyFill="1" applyBorder="1" applyProtection="1"/>
    <xf numFmtId="0" fontId="54" fillId="0" borderId="14" xfId="0" applyFont="1" applyBorder="1" applyProtection="1"/>
    <xf numFmtId="41" fontId="54" fillId="0" borderId="13" xfId="0" applyNumberFormat="1" applyFont="1" applyBorder="1" applyProtection="1"/>
    <xf numFmtId="10" fontId="54" fillId="0" borderId="13" xfId="0" applyNumberFormat="1" applyFont="1" applyBorder="1" applyProtection="1"/>
    <xf numFmtId="0" fontId="54" fillId="0" borderId="20" xfId="0" applyFont="1" applyBorder="1" applyProtection="1"/>
    <xf numFmtId="169" fontId="54" fillId="0" borderId="39" xfId="0" applyNumberFormat="1" applyFont="1" applyBorder="1" applyProtection="1"/>
    <xf numFmtId="169" fontId="54" fillId="0" borderId="45" xfId="0" applyNumberFormat="1" applyFont="1" applyBorder="1" applyProtection="1"/>
    <xf numFmtId="0" fontId="54" fillId="0" borderId="50" xfId="0" applyFont="1" applyBorder="1" applyProtection="1"/>
    <xf numFmtId="0" fontId="7" fillId="0" borderId="0" xfId="0" applyNumberFormat="1" applyFont="1" applyFill="1" applyAlignment="1" applyProtection="1">
      <alignment horizontal="center"/>
    </xf>
    <xf numFmtId="169" fontId="54" fillId="0" borderId="46" xfId="0" applyNumberFormat="1" applyFont="1" applyBorder="1" applyProtection="1"/>
    <xf numFmtId="0" fontId="54" fillId="0" borderId="16" xfId="0" applyFont="1" applyBorder="1" applyProtection="1"/>
    <xf numFmtId="0" fontId="5" fillId="0" borderId="0" xfId="0" applyFont="1" applyProtection="1"/>
    <xf numFmtId="169" fontId="54" fillId="0" borderId="24" xfId="0" applyNumberFormat="1" applyFont="1" applyBorder="1" applyProtection="1"/>
    <xf numFmtId="169" fontId="54" fillId="0" borderId="25" xfId="0" applyNumberFormat="1" applyFont="1" applyBorder="1" applyProtection="1"/>
    <xf numFmtId="43" fontId="54" fillId="0" borderId="26" xfId="86" applyFont="1" applyBorder="1" applyProtection="1"/>
    <xf numFmtId="0" fontId="50" fillId="0" borderId="0" xfId="0" applyFont="1" applyFill="1" applyProtection="1"/>
    <xf numFmtId="0" fontId="0" fillId="0" borderId="0" xfId="0" applyAlignment="1" applyProtection="1">
      <alignment wrapText="1"/>
    </xf>
    <xf numFmtId="0" fontId="7" fillId="0" borderId="0" xfId="86" applyNumberFormat="1" applyFont="1" applyFill="1" applyAlignment="1" applyProtection="1"/>
    <xf numFmtId="168" fontId="15" fillId="0" borderId="17" xfId="191" applyFont="1" applyBorder="1" applyAlignment="1" applyProtection="1"/>
    <xf numFmtId="168" fontId="7" fillId="0" borderId="18" xfId="191" applyFont="1" applyBorder="1" applyAlignment="1" applyProtection="1"/>
    <xf numFmtId="3" fontId="7" fillId="0" borderId="19" xfId="191" applyNumberFormat="1" applyFont="1" applyBorder="1" applyAlignment="1" applyProtection="1"/>
    <xf numFmtId="0" fontId="7" fillId="27" borderId="0" xfId="191" applyNumberFormat="1" applyFont="1" applyFill="1" applyBorder="1" applyAlignment="1" applyProtection="1">
      <alignment horizontal="center"/>
    </xf>
    <xf numFmtId="166" fontId="7" fillId="0" borderId="0" xfId="191" applyNumberFormat="1" applyFont="1" applyAlignment="1" applyProtection="1">
      <alignment horizontal="center"/>
    </xf>
    <xf numFmtId="167" fontId="7" fillId="0" borderId="0" xfId="191" applyNumberFormat="1" applyFont="1" applyAlignment="1" applyProtection="1"/>
    <xf numFmtId="0" fontId="7" fillId="0" borderId="0" xfId="0" quotePrefix="1" applyFont="1" applyBorder="1" applyAlignment="1" applyProtection="1">
      <alignment horizontal="right"/>
    </xf>
    <xf numFmtId="170" fontId="0" fillId="0" borderId="0" xfId="0" applyNumberFormat="1" applyBorder="1" applyProtection="1"/>
    <xf numFmtId="170" fontId="0" fillId="0" borderId="14" xfId="0" applyNumberFormat="1" applyBorder="1" applyProtection="1"/>
    <xf numFmtId="0" fontId="0" fillId="0" borderId="0" xfId="0" quotePrefix="1" applyBorder="1" applyAlignment="1" applyProtection="1">
      <alignment horizontal="right"/>
    </xf>
    <xf numFmtId="170" fontId="0" fillId="0" borderId="6" xfId="0" applyNumberFormat="1" applyBorder="1" applyProtection="1"/>
    <xf numFmtId="167" fontId="48" fillId="0" borderId="0" xfId="191" applyNumberFormat="1" applyFont="1" applyAlignment="1" applyProtection="1"/>
    <xf numFmtId="0" fontId="0" fillId="0" borderId="0" xfId="0" applyBorder="1" applyAlignment="1" applyProtection="1">
      <alignment horizontal="right"/>
    </xf>
    <xf numFmtId="169" fontId="0" fillId="0" borderId="0" xfId="0" applyNumberFormat="1" applyBorder="1" applyProtection="1"/>
    <xf numFmtId="172" fontId="7" fillId="0" borderId="0" xfId="191" applyNumberFormat="1" applyFont="1" applyAlignment="1" applyProtection="1"/>
    <xf numFmtId="165" fontId="7" fillId="0" borderId="15" xfId="191" applyNumberFormat="1" applyFont="1" applyBorder="1" applyAlignment="1" applyProtection="1">
      <alignment horizontal="center"/>
    </xf>
    <xf numFmtId="0" fontId="7" fillId="0" borderId="6" xfId="191" applyNumberFormat="1" applyFont="1" applyBorder="1" applyAlignment="1" applyProtection="1">
      <alignment horizontal="center"/>
    </xf>
    <xf numFmtId="169" fontId="7" fillId="0" borderId="6" xfId="191" quotePrefix="1" applyNumberFormat="1" applyFont="1" applyBorder="1" applyAlignment="1" applyProtection="1">
      <alignment horizontal="center"/>
    </xf>
    <xf numFmtId="177" fontId="7" fillId="0" borderId="6" xfId="191" quotePrefix="1" applyNumberFormat="1" applyFont="1" applyBorder="1" applyAlignment="1" applyProtection="1">
      <alignment horizontal="center"/>
    </xf>
    <xf numFmtId="169" fontId="1" fillId="0" borderId="6" xfId="191" applyNumberFormat="1" applyFont="1" applyFill="1" applyBorder="1" applyAlignment="1" applyProtection="1">
      <alignment horizontal="center"/>
    </xf>
    <xf numFmtId="178" fontId="7" fillId="0" borderId="0" xfId="191" applyNumberFormat="1" applyFont="1" applyBorder="1" applyAlignment="1" applyProtection="1">
      <alignment horizontal="center"/>
    </xf>
    <xf numFmtId="169" fontId="7" fillId="0" borderId="0" xfId="191" applyNumberFormat="1" applyFont="1" applyBorder="1" applyAlignment="1" applyProtection="1">
      <alignment horizontal="center"/>
    </xf>
    <xf numFmtId="164" fontId="7" fillId="0" borderId="2" xfId="191" applyNumberFormat="1" applyFont="1" applyBorder="1" applyAlignment="1" applyProtection="1">
      <alignment horizontal="left"/>
    </xf>
    <xf numFmtId="0" fontId="7" fillId="0" borderId="2" xfId="0" applyFont="1" applyBorder="1" applyAlignment="1" applyProtection="1">
      <alignment horizontal="center"/>
    </xf>
    <xf numFmtId="0" fontId="1" fillId="0" borderId="0" xfId="191" applyNumberFormat="1" applyFont="1" applyFill="1" applyBorder="1" applyAlignment="1" applyProtection="1"/>
    <xf numFmtId="0" fontId="7" fillId="0" borderId="0" xfId="0" applyFont="1" applyBorder="1" applyAlignment="1" applyProtection="1">
      <alignment horizontal="center"/>
    </xf>
    <xf numFmtId="41" fontId="1" fillId="0" borderId="0" xfId="191" applyNumberFormat="1" applyFont="1" applyFill="1" applyBorder="1" applyAlignment="1" applyProtection="1"/>
    <xf numFmtId="3" fontId="14" fillId="0" borderId="2" xfId="191" applyNumberFormat="1" applyFont="1" applyFill="1" applyBorder="1" applyAlignment="1" applyProtection="1"/>
    <xf numFmtId="41" fontId="7" fillId="0" borderId="2" xfId="191" applyNumberFormat="1" applyFont="1" applyFill="1" applyBorder="1" applyAlignment="1" applyProtection="1"/>
    <xf numFmtId="41" fontId="48" fillId="0" borderId="11" xfId="191" applyNumberFormat="1" applyFont="1" applyFill="1" applyBorder="1" applyAlignment="1" applyProtection="1"/>
    <xf numFmtId="10" fontId="7" fillId="0" borderId="0" xfId="0" applyNumberFormat="1" applyFont="1" applyFill="1" applyBorder="1" applyProtection="1"/>
    <xf numFmtId="9" fontId="7" fillId="0" borderId="0" xfId="196" applyFont="1" applyFill="1" applyBorder="1" applyProtection="1"/>
    <xf numFmtId="169" fontId="7" fillId="0" borderId="0" xfId="86" applyNumberFormat="1" applyFont="1" applyFill="1" applyBorder="1" applyAlignment="1" applyProtection="1"/>
    <xf numFmtId="41" fontId="56" fillId="0" borderId="0" xfId="0" applyNumberFormat="1" applyFont="1" applyProtection="1"/>
    <xf numFmtId="10" fontId="0" fillId="0" borderId="0" xfId="0" applyNumberFormat="1" applyProtection="1"/>
    <xf numFmtId="164" fontId="1" fillId="0" borderId="0" xfId="196" applyNumberFormat="1" applyProtection="1"/>
    <xf numFmtId="169" fontId="7" fillId="0" borderId="0" xfId="87" applyNumberFormat="1" applyFont="1" applyFill="1" applyProtection="1"/>
    <xf numFmtId="169" fontId="7" fillId="0" borderId="11" xfId="87" applyNumberFormat="1" applyFont="1" applyFill="1" applyBorder="1" applyProtection="1"/>
    <xf numFmtId="0" fontId="7" fillId="0" borderId="38" xfId="0" quotePrefix="1" applyFont="1" applyFill="1" applyBorder="1" applyAlignment="1" applyProtection="1">
      <alignment horizontal="left"/>
    </xf>
    <xf numFmtId="0" fontId="7" fillId="0" borderId="19" xfId="0" applyFont="1" applyFill="1" applyBorder="1" applyProtection="1"/>
    <xf numFmtId="0" fontId="7" fillId="0" borderId="14" xfId="0" applyFont="1" applyFill="1" applyBorder="1" applyProtection="1"/>
    <xf numFmtId="10" fontId="54" fillId="0" borderId="39" xfId="0" applyNumberFormat="1" applyFont="1" applyFill="1" applyBorder="1" applyProtection="1"/>
    <xf numFmtId="169" fontId="54" fillId="0" borderId="39" xfId="87" applyNumberFormat="1" applyFont="1" applyFill="1" applyBorder="1" applyProtection="1"/>
    <xf numFmtId="0" fontId="7" fillId="0" borderId="49" xfId="0" applyFont="1" applyFill="1" applyBorder="1" applyProtection="1"/>
    <xf numFmtId="166" fontId="54" fillId="0" borderId="39" xfId="0" applyNumberFormat="1" applyFont="1" applyFill="1" applyBorder="1" applyProtection="1"/>
    <xf numFmtId="0" fontId="7" fillId="0" borderId="47" xfId="0" applyFont="1" applyFill="1" applyBorder="1" applyProtection="1"/>
    <xf numFmtId="41" fontId="54" fillId="0" borderId="13" xfId="0" applyNumberFormat="1" applyFont="1" applyFill="1" applyBorder="1" applyProtection="1"/>
    <xf numFmtId="3" fontId="7" fillId="0" borderId="43" xfId="0" applyNumberFormat="1" applyFont="1" applyFill="1" applyBorder="1" applyProtection="1"/>
    <xf numFmtId="0" fontId="7" fillId="0" borderId="20" xfId="0" applyFont="1" applyFill="1" applyBorder="1" applyProtection="1"/>
    <xf numFmtId="169" fontId="54" fillId="0" borderId="44" xfId="0" applyNumberFormat="1" applyFont="1" applyFill="1" applyBorder="1" applyProtection="1"/>
    <xf numFmtId="169" fontId="54" fillId="0" borderId="46" xfId="0" applyNumberFormat="1" applyFont="1" applyFill="1" applyBorder="1" applyProtection="1"/>
    <xf numFmtId="0" fontId="7" fillId="0" borderId="16" xfId="0" applyFont="1" applyFill="1" applyBorder="1" applyProtection="1"/>
    <xf numFmtId="169" fontId="54" fillId="0" borderId="25" xfId="86" applyNumberFormat="1" applyFont="1" applyBorder="1" applyProtection="1"/>
    <xf numFmtId="169" fontId="54" fillId="0" borderId="26" xfId="86" applyNumberFormat="1" applyFont="1" applyBorder="1" applyProtection="1"/>
    <xf numFmtId="0" fontId="50" fillId="0" borderId="0" xfId="0" quotePrefix="1" applyFont="1" applyAlignment="1" applyProtection="1">
      <alignment horizontal="left"/>
    </xf>
    <xf numFmtId="0" fontId="46" fillId="0" borderId="0" xfId="0" applyFont="1" applyAlignment="1" applyProtection="1">
      <alignment horizontal="right"/>
    </xf>
    <xf numFmtId="0" fontId="67" fillId="0" borderId="0" xfId="0" applyFont="1" applyFill="1" applyAlignment="1" applyProtection="1">
      <alignment horizontal="right"/>
    </xf>
    <xf numFmtId="0" fontId="50" fillId="0" borderId="0" xfId="0" applyFont="1" applyProtection="1"/>
    <xf numFmtId="0" fontId="46" fillId="0" borderId="0" xfId="0" quotePrefix="1" applyFont="1" applyAlignment="1" applyProtection="1">
      <alignment horizontal="right"/>
    </xf>
    <xf numFmtId="0" fontId="68" fillId="0" borderId="0" xfId="0" quotePrefix="1" applyFont="1" applyAlignment="1" applyProtection="1">
      <alignment horizontal="left"/>
    </xf>
    <xf numFmtId="0" fontId="39" fillId="0" borderId="0" xfId="0" applyFont="1" applyAlignment="1" applyProtection="1">
      <alignment horizontal="left"/>
    </xf>
    <xf numFmtId="0" fontId="51" fillId="26" borderId="0" xfId="86" applyNumberFormat="1" applyFont="1" applyFill="1" applyAlignment="1" applyProtection="1">
      <alignment horizontal="left"/>
    </xf>
    <xf numFmtId="0" fontId="39" fillId="0" borderId="17" xfId="0" applyFont="1" applyBorder="1" applyProtection="1"/>
    <xf numFmtId="0" fontId="39" fillId="0" borderId="18" xfId="0" applyFont="1" applyBorder="1" applyProtection="1"/>
    <xf numFmtId="0" fontId="7" fillId="0" borderId="18" xfId="0" applyFont="1" applyBorder="1" applyProtection="1"/>
    <xf numFmtId="169" fontId="39" fillId="0" borderId="19" xfId="86" applyNumberFormat="1" applyFont="1" applyBorder="1" applyProtection="1"/>
    <xf numFmtId="0" fontId="14" fillId="0" borderId="0" xfId="86" applyNumberFormat="1" applyFont="1" applyFill="1" applyAlignment="1" applyProtection="1">
      <alignment horizontal="left"/>
    </xf>
    <xf numFmtId="0" fontId="14" fillId="0" borderId="0" xfId="86" applyNumberFormat="1" applyFont="1" applyFill="1" applyBorder="1" applyAlignment="1" applyProtection="1">
      <alignment horizontal="left"/>
    </xf>
    <xf numFmtId="0" fontId="39" fillId="0" borderId="13" xfId="0" applyFont="1" applyBorder="1" applyProtection="1"/>
    <xf numFmtId="0" fontId="9" fillId="0" borderId="0" xfId="86" applyNumberFormat="1" applyFont="1" applyFill="1" applyBorder="1" applyAlignment="1" applyProtection="1">
      <alignment horizontal="left"/>
    </xf>
    <xf numFmtId="169" fontId="39" fillId="0" borderId="20" xfId="86" applyNumberFormat="1" applyFont="1" applyBorder="1" applyProtection="1"/>
    <xf numFmtId="0" fontId="39" fillId="0" borderId="0" xfId="0" applyFont="1" applyFill="1" applyProtection="1"/>
    <xf numFmtId="0" fontId="52" fillId="0" borderId="0" xfId="0" applyFont="1" applyFill="1" applyAlignment="1" applyProtection="1">
      <alignment horizontal="left"/>
    </xf>
    <xf numFmtId="169" fontId="39" fillId="0" borderId="15" xfId="86" applyNumberFormat="1" applyFont="1" applyBorder="1" applyProtection="1"/>
    <xf numFmtId="169" fontId="7" fillId="0" borderId="6" xfId="86" applyNumberFormat="1" applyFont="1" applyBorder="1" applyProtection="1"/>
    <xf numFmtId="169" fontId="7" fillId="0" borderId="16" xfId="86" applyNumberFormat="1" applyFont="1" applyBorder="1" applyProtection="1"/>
    <xf numFmtId="0" fontId="53" fillId="0" borderId="0" xfId="0" applyFont="1" applyFill="1" applyAlignment="1" applyProtection="1"/>
    <xf numFmtId="0" fontId="55" fillId="0" borderId="0" xfId="0" applyFont="1" applyFill="1" applyAlignment="1" applyProtection="1"/>
    <xf numFmtId="0" fontId="7" fillId="0" borderId="0" xfId="0" applyFont="1" applyFill="1" applyAlignment="1" applyProtection="1">
      <alignment wrapText="1"/>
    </xf>
    <xf numFmtId="0" fontId="7" fillId="0" borderId="0" xfId="0" applyFont="1" applyFill="1" applyBorder="1" applyAlignment="1" applyProtection="1">
      <alignment wrapText="1"/>
    </xf>
    <xf numFmtId="0" fontId="39" fillId="0" borderId="21" xfId="0" applyFont="1" applyFill="1" applyBorder="1" applyAlignment="1" applyProtection="1">
      <alignment horizontal="center"/>
    </xf>
    <xf numFmtId="0" fontId="61" fillId="27" borderId="22" xfId="0" applyFont="1" applyFill="1" applyBorder="1" applyAlignment="1" applyProtection="1">
      <alignment horizontal="center"/>
    </xf>
    <xf numFmtId="0" fontId="39" fillId="0" borderId="22" xfId="0" applyFont="1" applyFill="1" applyBorder="1" applyAlignment="1" applyProtection="1">
      <alignment horizontal="center"/>
    </xf>
    <xf numFmtId="0" fontId="39" fillId="0" borderId="23" xfId="0" applyFont="1" applyFill="1" applyBorder="1" applyAlignment="1" applyProtection="1">
      <alignment horizontal="center"/>
    </xf>
    <xf numFmtId="0" fontId="39" fillId="0" borderId="0" xfId="0" applyFont="1" applyFill="1" applyBorder="1" applyAlignment="1" applyProtection="1">
      <alignment horizontal="center"/>
    </xf>
    <xf numFmtId="0" fontId="0" fillId="0" borderId="0" xfId="0" applyBorder="1" applyAlignment="1" applyProtection="1"/>
    <xf numFmtId="0" fontId="7" fillId="0" borderId="13" xfId="0" applyFont="1" applyFill="1" applyBorder="1" applyAlignment="1" applyProtection="1"/>
    <xf numFmtId="169" fontId="54" fillId="26" borderId="14" xfId="86" applyNumberFormat="1" applyFont="1" applyFill="1" applyBorder="1" applyAlignment="1" applyProtection="1">
      <alignment horizontal="right"/>
    </xf>
    <xf numFmtId="0" fontId="39" fillId="0" borderId="19" xfId="0" applyFont="1" applyFill="1" applyBorder="1" applyAlignment="1" applyProtection="1">
      <alignment horizontal="center"/>
    </xf>
    <xf numFmtId="0" fontId="7" fillId="0" borderId="13" xfId="0" applyFont="1" applyFill="1" applyBorder="1" applyProtection="1"/>
    <xf numFmtId="0" fontId="54" fillId="26" borderId="14" xfId="0" applyFont="1" applyFill="1" applyBorder="1" applyAlignment="1" applyProtection="1">
      <alignment horizontal="right"/>
    </xf>
    <xf numFmtId="169" fontId="7" fillId="0" borderId="14" xfId="0" applyNumberFormat="1" applyFont="1" applyFill="1" applyBorder="1" applyAlignment="1" applyProtection="1">
      <alignment horizontal="right"/>
    </xf>
    <xf numFmtId="169" fontId="7" fillId="0" borderId="0" xfId="0" applyNumberFormat="1" applyFont="1" applyFill="1" applyBorder="1" applyAlignment="1" applyProtection="1">
      <alignment horizontal="right"/>
    </xf>
    <xf numFmtId="10" fontId="7" fillId="0" borderId="14" xfId="0" applyNumberFormat="1" applyFont="1" applyBorder="1" applyProtection="1"/>
    <xf numFmtId="169" fontId="7" fillId="0" borderId="14" xfId="86" applyNumberFormat="1" applyFont="1" applyBorder="1" applyProtection="1"/>
    <xf numFmtId="0" fontId="39" fillId="0" borderId="24" xfId="0" applyFont="1" applyBorder="1" applyAlignment="1" applyProtection="1">
      <alignment horizontal="center"/>
    </xf>
    <xf numFmtId="169" fontId="39" fillId="0" borderId="24" xfId="86" quotePrefix="1" applyNumberFormat="1" applyFont="1" applyBorder="1" applyAlignment="1" applyProtection="1">
      <alignment horizontal="center" wrapText="1"/>
    </xf>
    <xf numFmtId="169" fontId="39" fillId="0" borderId="24" xfId="86" applyNumberFormat="1" applyFont="1" applyBorder="1" applyAlignment="1" applyProtection="1">
      <alignment horizontal="center"/>
    </xf>
    <xf numFmtId="169" fontId="39" fillId="0" borderId="19" xfId="86" applyNumberFormat="1" applyFont="1" applyFill="1" applyBorder="1" applyAlignment="1" applyProtection="1">
      <alignment horizontal="center" wrapText="1"/>
    </xf>
    <xf numFmtId="169" fontId="39" fillId="0" borderId="19" xfId="86" applyNumberFormat="1" applyFont="1" applyBorder="1" applyAlignment="1" applyProtection="1">
      <alignment horizontal="center" wrapText="1"/>
    </xf>
    <xf numFmtId="0" fontId="39" fillId="0" borderId="25" xfId="0" applyFont="1" applyBorder="1" applyAlignment="1" applyProtection="1">
      <alignment horizontal="center"/>
    </xf>
    <xf numFmtId="169" fontId="39" fillId="0" borderId="24" xfId="86" applyNumberFormat="1" applyFont="1" applyFill="1" applyBorder="1" applyAlignment="1" applyProtection="1">
      <alignment horizontal="center" wrapText="1"/>
    </xf>
    <xf numFmtId="169" fontId="39" fillId="0" borderId="24" xfId="86" applyNumberFormat="1" applyFont="1" applyBorder="1" applyAlignment="1" applyProtection="1">
      <alignment horizontal="center" wrapText="1"/>
    </xf>
    <xf numFmtId="0" fontId="39" fillId="0" borderId="26" xfId="0" applyFont="1" applyBorder="1" applyAlignment="1" applyProtection="1">
      <alignment horizontal="center"/>
    </xf>
    <xf numFmtId="0" fontId="39" fillId="0" borderId="26" xfId="0" applyFont="1" applyBorder="1" applyAlignment="1" applyProtection="1">
      <alignment horizontal="center" wrapText="1"/>
    </xf>
    <xf numFmtId="169" fontId="39" fillId="0" borderId="16" xfId="86" applyNumberFormat="1" applyFont="1" applyFill="1" applyBorder="1" applyAlignment="1" applyProtection="1">
      <alignment horizontal="center"/>
    </xf>
    <xf numFmtId="169" fontId="39" fillId="0" borderId="16" xfId="86" applyNumberFormat="1" applyFont="1" applyBorder="1" applyAlignment="1" applyProtection="1">
      <alignment horizontal="center"/>
    </xf>
    <xf numFmtId="0" fontId="39" fillId="0" borderId="26" xfId="0" applyFont="1" applyFill="1" applyBorder="1" applyAlignment="1" applyProtection="1">
      <alignment horizontal="center"/>
    </xf>
    <xf numFmtId="0" fontId="39" fillId="0" borderId="25" xfId="0" applyFont="1" applyFill="1" applyBorder="1" applyAlignment="1" applyProtection="1">
      <alignment horizontal="center"/>
    </xf>
    <xf numFmtId="169" fontId="39" fillId="0" borderId="26" xfId="86" applyNumberFormat="1" applyFont="1" applyBorder="1" applyAlignment="1" applyProtection="1">
      <alignment horizontal="center"/>
    </xf>
    <xf numFmtId="169" fontId="39" fillId="0" borderId="26" xfId="86" applyNumberFormat="1" applyFont="1" applyFill="1" applyBorder="1" applyAlignment="1" applyProtection="1">
      <alignment horizontal="center"/>
    </xf>
    <xf numFmtId="169" fontId="39" fillId="0" borderId="15" xfId="86" applyNumberFormat="1" applyFont="1" applyFill="1" applyBorder="1" applyAlignment="1" applyProtection="1">
      <alignment horizontal="center"/>
    </xf>
    <xf numFmtId="0" fontId="7" fillId="0" borderId="25" xfId="0" applyNumberFormat="1" applyFont="1" applyBorder="1" applyAlignment="1" applyProtection="1">
      <alignment horizontal="center"/>
    </xf>
    <xf numFmtId="169" fontId="78" fillId="26" borderId="0" xfId="0" applyNumberFormat="1" applyFont="1" applyFill="1" applyBorder="1" applyProtection="1"/>
    <xf numFmtId="169" fontId="78" fillId="26" borderId="24" xfId="86" applyNumberFormat="1" applyFont="1" applyFill="1" applyBorder="1" applyProtection="1"/>
    <xf numFmtId="169" fontId="78" fillId="26" borderId="25" xfId="86" applyNumberFormat="1" applyFont="1" applyFill="1" applyBorder="1" applyProtection="1"/>
    <xf numFmtId="169" fontId="78" fillId="26" borderId="14" xfId="86" applyNumberFormat="1" applyFont="1" applyFill="1" applyBorder="1" applyProtection="1"/>
    <xf numFmtId="170" fontId="7" fillId="0" borderId="14" xfId="0" applyNumberFormat="1" applyFont="1" applyBorder="1" applyProtection="1"/>
    <xf numFmtId="170" fontId="54" fillId="0" borderId="24" xfId="0" applyNumberFormat="1" applyFont="1" applyFill="1" applyBorder="1" applyProtection="1"/>
    <xf numFmtId="170" fontId="7" fillId="0" borderId="24" xfId="0" applyNumberFormat="1" applyFont="1" applyFill="1" applyBorder="1" applyProtection="1"/>
    <xf numFmtId="170" fontId="7" fillId="0" borderId="24" xfId="0" applyNumberFormat="1" applyFont="1" applyBorder="1" applyProtection="1"/>
    <xf numFmtId="170" fontId="7" fillId="0" borderId="25" xfId="0" applyNumberFormat="1" applyFont="1" applyBorder="1" applyProtection="1"/>
    <xf numFmtId="169" fontId="78" fillId="26" borderId="25" xfId="0" applyNumberFormat="1" applyFont="1" applyFill="1" applyBorder="1" applyProtection="1"/>
    <xf numFmtId="170" fontId="54" fillId="0" borderId="25" xfId="0" applyNumberFormat="1" applyFont="1" applyFill="1" applyBorder="1" applyProtection="1"/>
    <xf numFmtId="170" fontId="7" fillId="0" borderId="25" xfId="0" applyNumberFormat="1" applyFont="1" applyFill="1" applyBorder="1" applyProtection="1"/>
    <xf numFmtId="169" fontId="7" fillId="0" borderId="25" xfId="0" applyNumberFormat="1" applyFont="1" applyFill="1" applyBorder="1" applyProtection="1"/>
    <xf numFmtId="169" fontId="1" fillId="0" borderId="25" xfId="86" applyNumberFormat="1" applyBorder="1" applyProtection="1"/>
    <xf numFmtId="169" fontId="7" fillId="0" borderId="25" xfId="0" applyNumberFormat="1" applyFont="1" applyBorder="1" applyProtection="1"/>
    <xf numFmtId="169" fontId="7" fillId="0" borderId="25" xfId="86" applyNumberFormat="1" applyFont="1" applyBorder="1" applyProtection="1"/>
    <xf numFmtId="170" fontId="54" fillId="26" borderId="25" xfId="0" applyNumberFormat="1" applyFont="1" applyFill="1" applyBorder="1" applyProtection="1"/>
    <xf numFmtId="0" fontId="7" fillId="0" borderId="42" xfId="0" applyNumberFormat="1" applyFont="1" applyBorder="1" applyAlignment="1" applyProtection="1">
      <alignment horizontal="center"/>
    </xf>
    <xf numFmtId="169" fontId="7" fillId="0" borderId="42" xfId="0" applyNumberFormat="1" applyFont="1" applyFill="1" applyBorder="1" applyProtection="1"/>
    <xf numFmtId="169" fontId="1" fillId="0" borderId="42" xfId="86" applyNumberFormat="1" applyBorder="1" applyProtection="1"/>
    <xf numFmtId="169" fontId="7" fillId="0" borderId="42" xfId="0" applyNumberFormat="1" applyFont="1" applyBorder="1" applyProtection="1"/>
    <xf numFmtId="169" fontId="7" fillId="0" borderId="42" xfId="86" applyNumberFormat="1" applyFont="1" applyBorder="1" applyProtection="1"/>
    <xf numFmtId="169" fontId="7" fillId="0" borderId="43" xfId="86" applyNumberFormat="1" applyFont="1" applyBorder="1" applyProtection="1"/>
    <xf numFmtId="170" fontId="7" fillId="0" borderId="43" xfId="0" applyNumberFormat="1" applyFont="1" applyBorder="1" applyProtection="1"/>
    <xf numFmtId="170" fontId="54" fillId="26" borderId="42" xfId="0" applyNumberFormat="1" applyFont="1" applyFill="1" applyBorder="1" applyProtection="1"/>
    <xf numFmtId="170" fontId="7" fillId="0" borderId="42" xfId="0" applyNumberFormat="1" applyFont="1" applyBorder="1" applyProtection="1"/>
    <xf numFmtId="0" fontId="7" fillId="0" borderId="2" xfId="0" applyFont="1" applyBorder="1" applyProtection="1"/>
    <xf numFmtId="169" fontId="7" fillId="0" borderId="25" xfId="86" applyNumberFormat="1" applyFont="1" applyFill="1" applyBorder="1" applyProtection="1"/>
    <xf numFmtId="0" fontId="7" fillId="0" borderId="26" xfId="0" applyNumberFormat="1" applyFont="1" applyBorder="1" applyAlignment="1" applyProtection="1">
      <alignment horizontal="center"/>
    </xf>
    <xf numFmtId="169" fontId="7" fillId="0" borderId="26" xfId="0" applyNumberFormat="1" applyFont="1" applyFill="1" applyBorder="1" applyProtection="1"/>
    <xf numFmtId="169" fontId="1" fillId="0" borderId="26" xfId="86" applyNumberFormat="1" applyBorder="1" applyProtection="1"/>
    <xf numFmtId="169" fontId="7" fillId="0" borderId="26" xfId="0" applyNumberFormat="1" applyFont="1" applyBorder="1" applyProtection="1"/>
    <xf numFmtId="169" fontId="7" fillId="0" borderId="26" xfId="86" applyNumberFormat="1" applyFont="1" applyFill="1" applyBorder="1" applyProtection="1"/>
    <xf numFmtId="170" fontId="7" fillId="0" borderId="16" xfId="0" applyNumberFormat="1" applyFont="1" applyBorder="1" applyProtection="1"/>
    <xf numFmtId="170" fontId="54" fillId="26" borderId="26" xfId="0" applyNumberFormat="1" applyFont="1" applyFill="1" applyBorder="1" applyProtection="1"/>
    <xf numFmtId="170" fontId="7" fillId="0" borderId="26" xfId="0" applyNumberFormat="1" applyFont="1" applyBorder="1" applyProtection="1"/>
    <xf numFmtId="0" fontId="53" fillId="0" borderId="0" xfId="0" applyFont="1" applyFill="1" applyProtection="1"/>
    <xf numFmtId="0" fontId="46" fillId="0" borderId="0" xfId="0" applyFont="1" applyFill="1" applyAlignment="1" applyProtection="1">
      <alignment horizontal="right"/>
    </xf>
    <xf numFmtId="0" fontId="69" fillId="0" borderId="0" xfId="0" applyFont="1" applyProtection="1"/>
    <xf numFmtId="0" fontId="7" fillId="0" borderId="0" xfId="0" applyFont="1" applyAlignment="1" applyProtection="1">
      <alignment horizontal="left"/>
    </xf>
    <xf numFmtId="0" fontId="46" fillId="0" borderId="0" xfId="0" quotePrefix="1" applyFont="1" applyAlignment="1" applyProtection="1">
      <alignment horizontal="center"/>
    </xf>
    <xf numFmtId="0" fontId="9" fillId="0" borderId="0" xfId="0" applyFont="1" applyFill="1" applyProtection="1"/>
    <xf numFmtId="0" fontId="39" fillId="0" borderId="28" xfId="0" applyFont="1" applyFill="1" applyBorder="1" applyAlignment="1" applyProtection="1">
      <alignment horizontal="center"/>
    </xf>
    <xf numFmtId="168" fontId="7" fillId="0" borderId="29" xfId="191" applyFont="1" applyBorder="1" applyAlignment="1" applyProtection="1">
      <alignment horizontal="center"/>
    </xf>
    <xf numFmtId="168" fontId="7" fillId="0" borderId="29" xfId="191" quotePrefix="1" applyFont="1" applyBorder="1" applyAlignment="1" applyProtection="1">
      <alignment horizontal="center"/>
    </xf>
    <xf numFmtId="3" fontId="7" fillId="0" borderId="30" xfId="191" applyNumberFormat="1" applyFont="1" applyBorder="1" applyAlignment="1" applyProtection="1">
      <alignment horizontal="center"/>
    </xf>
    <xf numFmtId="0" fontId="55" fillId="0" borderId="24" xfId="0" applyFont="1" applyBorder="1" applyProtection="1"/>
    <xf numFmtId="169" fontId="7" fillId="0" borderId="13" xfId="86" quotePrefix="1" applyNumberFormat="1" applyFont="1" applyBorder="1" applyAlignment="1" applyProtection="1">
      <alignment horizontal="right"/>
    </xf>
    <xf numFmtId="169" fontId="39" fillId="0" borderId="0" xfId="86" applyNumberFormat="1" applyFont="1" applyBorder="1" applyProtection="1"/>
    <xf numFmtId="169" fontId="7" fillId="0" borderId="14" xfId="0" applyNumberFormat="1" applyFont="1" applyBorder="1" applyProtection="1"/>
    <xf numFmtId="0" fontId="57" fillId="0" borderId="31" xfId="86" applyNumberFormat="1" applyFont="1" applyFill="1" applyBorder="1" applyAlignment="1" applyProtection="1">
      <alignment horizontal="left"/>
    </xf>
    <xf numFmtId="169" fontId="7" fillId="0" borderId="32" xfId="86" quotePrefix="1" applyNumberFormat="1" applyFont="1" applyBorder="1" applyAlignment="1" applyProtection="1">
      <alignment horizontal="right"/>
    </xf>
    <xf numFmtId="169" fontId="39" fillId="0" borderId="11" xfId="86" applyNumberFormat="1" applyFont="1" applyBorder="1" applyProtection="1"/>
    <xf numFmtId="169" fontId="7" fillId="0" borderId="20" xfId="0" applyNumberFormat="1" applyFont="1" applyBorder="1" applyProtection="1"/>
    <xf numFmtId="0" fontId="52" fillId="0" borderId="0" xfId="0" applyFont="1" applyAlignment="1" applyProtection="1">
      <alignment horizontal="left"/>
    </xf>
    <xf numFmtId="169" fontId="55" fillId="0" borderId="26" xfId="86" applyNumberFormat="1" applyFont="1" applyBorder="1" applyProtection="1"/>
    <xf numFmtId="0" fontId="7" fillId="0" borderId="15" xfId="0" quotePrefix="1" applyFont="1" applyBorder="1" applyAlignment="1" applyProtection="1">
      <alignment horizontal="right"/>
    </xf>
    <xf numFmtId="169" fontId="39" fillId="0" borderId="6" xfId="86" applyNumberFormat="1" applyFont="1" applyFill="1" applyBorder="1" applyAlignment="1" applyProtection="1">
      <alignment horizontal="left"/>
    </xf>
    <xf numFmtId="169" fontId="39" fillId="0" borderId="16" xfId="86" applyNumberFormat="1" applyFont="1" applyFill="1" applyBorder="1" applyAlignment="1" applyProtection="1">
      <alignment horizontal="left"/>
    </xf>
    <xf numFmtId="169" fontId="55" fillId="0" borderId="0" xfId="0" applyNumberFormat="1" applyFont="1" applyAlignment="1" applyProtection="1">
      <alignment horizontal="left"/>
    </xf>
    <xf numFmtId="0" fontId="7" fillId="0" borderId="21" xfId="0" applyFont="1" applyFill="1" applyBorder="1" applyAlignment="1" applyProtection="1">
      <alignment horizontal="center"/>
    </xf>
    <xf numFmtId="0" fontId="39" fillId="0" borderId="22" xfId="0" applyFont="1" applyFill="1" applyBorder="1" applyAlignment="1" applyProtection="1"/>
    <xf numFmtId="0" fontId="0" fillId="0" borderId="22" xfId="0" applyBorder="1" applyAlignment="1" applyProtection="1"/>
    <xf numFmtId="0" fontId="0" fillId="0" borderId="23" xfId="0" applyBorder="1" applyAlignment="1" applyProtection="1"/>
    <xf numFmtId="0" fontId="0" fillId="0" borderId="0" xfId="0" applyFill="1" applyBorder="1" applyAlignment="1" applyProtection="1"/>
    <xf numFmtId="0" fontId="7" fillId="0" borderId="14" xfId="0" applyFont="1" applyFill="1" applyBorder="1" applyAlignment="1" applyProtection="1">
      <alignment horizontal="right"/>
    </xf>
    <xf numFmtId="0" fontId="7" fillId="0" borderId="16" xfId="0" applyFont="1" applyFill="1" applyBorder="1" applyAlignment="1" applyProtection="1">
      <alignment horizontal="right"/>
    </xf>
    <xf numFmtId="0" fontId="7" fillId="0" borderId="15" xfId="0" applyFont="1" applyBorder="1" applyProtection="1"/>
    <xf numFmtId="0" fontId="7" fillId="0" borderId="6" xfId="0" applyFont="1" applyBorder="1" applyAlignment="1" applyProtection="1">
      <alignment horizontal="center"/>
    </xf>
    <xf numFmtId="0" fontId="0" fillId="0" borderId="6" xfId="0" applyBorder="1" applyProtection="1"/>
    <xf numFmtId="0" fontId="39" fillId="0" borderId="24" xfId="0" applyFont="1" applyBorder="1" applyAlignment="1" applyProtection="1">
      <alignment horizontal="center" wrapText="1"/>
    </xf>
    <xf numFmtId="169" fontId="39" fillId="0" borderId="0" xfId="86" quotePrefix="1" applyNumberFormat="1" applyFont="1" applyBorder="1" applyAlignment="1" applyProtection="1">
      <alignment horizontal="center" wrapText="1"/>
    </xf>
    <xf numFmtId="0" fontId="39" fillId="0" borderId="25" xfId="0" applyFont="1" applyBorder="1" applyAlignment="1" applyProtection="1">
      <alignment horizontal="center" wrapText="1"/>
    </xf>
    <xf numFmtId="0" fontId="39" fillId="0" borderId="6" xfId="0" applyFont="1" applyBorder="1" applyAlignment="1" applyProtection="1">
      <alignment horizontal="center"/>
    </xf>
    <xf numFmtId="169" fontId="39" fillId="26" borderId="26" xfId="86" applyNumberFormat="1" applyFont="1" applyFill="1" applyBorder="1" applyAlignment="1" applyProtection="1">
      <alignment horizontal="center"/>
    </xf>
    <xf numFmtId="169" fontId="78" fillId="26" borderId="24" xfId="0" applyNumberFormat="1" applyFont="1" applyFill="1" applyBorder="1" applyProtection="1"/>
    <xf numFmtId="169" fontId="7" fillId="0" borderId="14" xfId="86" applyNumberFormat="1" applyFont="1" applyFill="1" applyBorder="1" applyProtection="1"/>
    <xf numFmtId="169" fontId="7" fillId="0" borderId="16" xfId="86" applyNumberFormat="1" applyFont="1" applyFill="1" applyBorder="1" applyProtection="1"/>
    <xf numFmtId="0" fontId="55" fillId="0" borderId="0" xfId="0" applyFont="1" applyProtection="1"/>
    <xf numFmtId="0" fontId="58" fillId="0" borderId="0" xfId="0" applyFont="1" applyFill="1" applyProtection="1"/>
    <xf numFmtId="0" fontId="46" fillId="0" borderId="0" xfId="0" applyFont="1" applyAlignment="1" applyProtection="1">
      <alignment horizontal="center"/>
    </xf>
    <xf numFmtId="0" fontId="68" fillId="0" borderId="0" xfId="0" applyFont="1" applyProtection="1"/>
    <xf numFmtId="169" fontId="7" fillId="0" borderId="0" xfId="0" applyNumberFormat="1" applyFont="1" applyFill="1" applyBorder="1" applyProtection="1"/>
    <xf numFmtId="169" fontId="39" fillId="26" borderId="16" xfId="86" applyNumberFormat="1" applyFont="1" applyFill="1" applyBorder="1" applyAlignment="1" applyProtection="1">
      <alignment horizontal="center"/>
    </xf>
    <xf numFmtId="0" fontId="7" fillId="0" borderId="25" xfId="0" applyNumberFormat="1" applyFont="1" applyFill="1" applyBorder="1" applyAlignment="1" applyProtection="1">
      <alignment horizontal="center"/>
    </xf>
    <xf numFmtId="169" fontId="7" fillId="0" borderId="13" xfId="0" applyNumberFormat="1" applyFont="1" applyFill="1" applyBorder="1" applyProtection="1"/>
    <xf numFmtId="169" fontId="7" fillId="0" borderId="14" xfId="86" applyNumberFormat="1" applyFont="1" applyFill="1" applyBorder="1" applyAlignment="1" applyProtection="1">
      <alignment horizontal="right"/>
    </xf>
    <xf numFmtId="170" fontId="46" fillId="0" borderId="0" xfId="0" quotePrefix="1" applyNumberFormat="1" applyFont="1" applyBorder="1" applyAlignment="1" applyProtection="1">
      <alignment horizontal="center"/>
    </xf>
    <xf numFmtId="170" fontId="7" fillId="0" borderId="14" xfId="0" applyNumberFormat="1" applyFont="1" applyFill="1" applyBorder="1" applyProtection="1"/>
    <xf numFmtId="170" fontId="7" fillId="0" borderId="0" xfId="0" applyNumberFormat="1" applyFont="1" applyFill="1" applyBorder="1" applyProtection="1"/>
    <xf numFmtId="170" fontId="7" fillId="0" borderId="19" xfId="0" applyNumberFormat="1" applyFont="1" applyBorder="1" applyProtection="1"/>
    <xf numFmtId="170" fontId="54" fillId="0" borderId="17" xfId="0" applyNumberFormat="1" applyFont="1" applyFill="1" applyBorder="1" applyProtection="1"/>
    <xf numFmtId="170" fontId="7" fillId="0" borderId="13" xfId="0" applyNumberFormat="1" applyFont="1" applyBorder="1" applyProtection="1"/>
    <xf numFmtId="170" fontId="54" fillId="0" borderId="13" xfId="0" applyNumberFormat="1" applyFont="1" applyFill="1" applyBorder="1" applyProtection="1"/>
    <xf numFmtId="0" fontId="81" fillId="0" borderId="0" xfId="191" applyNumberFormat="1" applyFont="1" applyFill="1" applyBorder="1" applyAlignment="1" applyProtection="1"/>
    <xf numFmtId="0" fontId="82" fillId="0" borderId="0" xfId="0" applyFont="1" applyAlignment="1" applyProtection="1">
      <alignment horizontal="left"/>
    </xf>
    <xf numFmtId="170" fontId="54" fillId="0" borderId="34" xfId="0" applyNumberFormat="1" applyFont="1" applyFill="1" applyBorder="1" applyProtection="1"/>
    <xf numFmtId="170" fontId="7" fillId="0" borderId="40" xfId="0" applyNumberFormat="1" applyFont="1" applyFill="1" applyBorder="1" applyProtection="1"/>
    <xf numFmtId="170" fontId="7" fillId="0" borderId="34" xfId="0" applyNumberFormat="1" applyFont="1" applyBorder="1" applyProtection="1"/>
    <xf numFmtId="170" fontId="7" fillId="0" borderId="40" xfId="0" applyNumberFormat="1" applyFont="1" applyBorder="1" applyProtection="1"/>
    <xf numFmtId="170" fontId="7" fillId="0" borderId="10" xfId="0" applyNumberFormat="1" applyFont="1" applyBorder="1" applyProtection="1"/>
    <xf numFmtId="169" fontId="1" fillId="0" borderId="0" xfId="86" applyNumberFormat="1" applyBorder="1" applyProtection="1"/>
    <xf numFmtId="169" fontId="78" fillId="26" borderId="14" xfId="86" applyNumberFormat="1" applyFont="1" applyFill="1" applyBorder="1" applyAlignment="1" applyProtection="1">
      <alignment horizontal="right"/>
    </xf>
    <xf numFmtId="169" fontId="39" fillId="0" borderId="31" xfId="86" applyNumberFormat="1" applyFont="1" applyBorder="1" applyAlignment="1" applyProtection="1">
      <alignment horizontal="center"/>
    </xf>
    <xf numFmtId="170" fontId="54" fillId="0" borderId="33" xfId="0" applyNumberFormat="1" applyFont="1" applyFill="1" applyBorder="1" applyProtection="1"/>
    <xf numFmtId="170" fontId="54" fillId="0" borderId="42" xfId="0" applyNumberFormat="1" applyFont="1" applyFill="1" applyBorder="1" applyProtection="1"/>
    <xf numFmtId="170" fontId="7" fillId="0" borderId="2" xfId="0" applyNumberFormat="1" applyFont="1" applyBorder="1" applyProtection="1"/>
    <xf numFmtId="170" fontId="7" fillId="0" borderId="33" xfId="0" applyNumberFormat="1" applyFont="1" applyBorder="1" applyProtection="1"/>
    <xf numFmtId="0" fontId="55" fillId="0" borderId="0" xfId="0" quotePrefix="1" applyFont="1" applyFill="1" applyAlignment="1" applyProtection="1">
      <alignment horizontal="left"/>
    </xf>
    <xf numFmtId="169" fontId="7" fillId="0" borderId="24" xfId="0" applyNumberFormat="1" applyFont="1" applyBorder="1" applyProtection="1"/>
    <xf numFmtId="170" fontId="54" fillId="26" borderId="24" xfId="0" applyNumberFormat="1" applyFont="1" applyFill="1" applyBorder="1" applyProtection="1"/>
    <xf numFmtId="170" fontId="7" fillId="0" borderId="17" xfId="0" applyNumberFormat="1" applyFont="1" applyFill="1" applyBorder="1" applyProtection="1"/>
    <xf numFmtId="170" fontId="54" fillId="0" borderId="18" xfId="0" applyNumberFormat="1" applyFont="1" applyFill="1" applyBorder="1" applyProtection="1"/>
    <xf numFmtId="170" fontId="7" fillId="0" borderId="13" xfId="0" applyNumberFormat="1" applyFont="1" applyFill="1" applyBorder="1" applyProtection="1"/>
    <xf numFmtId="170" fontId="54" fillId="0" borderId="0" xfId="0" applyNumberFormat="1" applyFont="1" applyFill="1" applyBorder="1" applyProtection="1"/>
    <xf numFmtId="169" fontId="7" fillId="0" borderId="26" xfId="86" applyNumberFormat="1" applyFont="1" applyBorder="1" applyProtection="1"/>
    <xf numFmtId="169" fontId="80" fillId="26" borderId="0" xfId="0" applyNumberFormat="1" applyFont="1" applyFill="1" applyBorder="1" applyProtection="1"/>
    <xf numFmtId="169" fontId="80" fillId="26" borderId="25" xfId="86" applyNumberFormat="1" applyFont="1" applyFill="1" applyBorder="1" applyProtection="1"/>
    <xf numFmtId="169" fontId="80" fillId="26" borderId="25" xfId="0" applyNumberFormat="1" applyFont="1" applyFill="1" applyBorder="1" applyProtection="1"/>
    <xf numFmtId="169" fontId="80" fillId="26" borderId="24" xfId="0" applyNumberFormat="1" applyFont="1" applyFill="1" applyBorder="1" applyProtection="1"/>
    <xf numFmtId="170" fontId="80" fillId="26" borderId="25" xfId="0" applyNumberFormat="1" applyFont="1" applyFill="1" applyBorder="1" applyProtection="1"/>
    <xf numFmtId="169" fontId="80" fillId="26" borderId="14" xfId="86" applyNumberFormat="1" applyFont="1" applyFill="1" applyBorder="1" applyProtection="1"/>
    <xf numFmtId="169" fontId="7" fillId="0" borderId="15" xfId="0" applyNumberFormat="1" applyFont="1" applyBorder="1" applyProtection="1"/>
    <xf numFmtId="0" fontId="55" fillId="0" borderId="0" xfId="0" quotePrefix="1" applyFont="1" applyAlignment="1" applyProtection="1">
      <alignment horizontal="left"/>
    </xf>
    <xf numFmtId="169" fontId="80" fillId="26" borderId="24" xfId="86" applyNumberFormat="1" applyFont="1" applyFill="1" applyBorder="1" applyProtection="1"/>
    <xf numFmtId="0" fontId="79" fillId="27" borderId="22" xfId="0" applyFont="1" applyFill="1" applyBorder="1" applyAlignment="1" applyProtection="1"/>
    <xf numFmtId="169" fontId="80" fillId="26" borderId="14" xfId="86" applyNumberFormat="1" applyFont="1" applyFill="1" applyBorder="1" applyAlignment="1" applyProtection="1">
      <alignment horizontal="right"/>
    </xf>
    <xf numFmtId="169" fontId="54" fillId="0" borderId="26" xfId="86" applyNumberFormat="1" applyFont="1" applyFill="1" applyBorder="1" applyProtection="1"/>
    <xf numFmtId="169" fontId="54" fillId="0" borderId="16" xfId="86" applyNumberFormat="1" applyFont="1" applyFill="1" applyBorder="1" applyProtection="1"/>
    <xf numFmtId="0" fontId="7" fillId="0" borderId="0" xfId="0" applyFont="1" applyFill="1" applyAlignment="1" applyProtection="1"/>
    <xf numFmtId="169" fontId="7" fillId="0" borderId="0" xfId="0" applyNumberFormat="1" applyFont="1" applyAlignment="1" applyProtection="1">
      <alignment horizontal="left"/>
    </xf>
    <xf numFmtId="169" fontId="54" fillId="0" borderId="25" xfId="86" applyNumberFormat="1" applyFont="1" applyFill="1" applyBorder="1" applyProtection="1"/>
    <xf numFmtId="169" fontId="54" fillId="0" borderId="14" xfId="86" applyNumberFormat="1" applyFont="1" applyFill="1" applyBorder="1" applyProtection="1"/>
    <xf numFmtId="169" fontId="7" fillId="0" borderId="25" xfId="87" applyNumberFormat="1" applyBorder="1" applyProtection="1"/>
    <xf numFmtId="169" fontId="7" fillId="0" borderId="25" xfId="87" applyNumberFormat="1" applyFont="1" applyFill="1" applyBorder="1" applyProtection="1"/>
    <xf numFmtId="169" fontId="7" fillId="0" borderId="14" xfId="87" applyNumberFormat="1" applyFont="1" applyFill="1" applyBorder="1" applyProtection="1"/>
    <xf numFmtId="169" fontId="7" fillId="0" borderId="26" xfId="87" applyNumberFormat="1" applyBorder="1" applyProtection="1"/>
    <xf numFmtId="169" fontId="7" fillId="0" borderId="26" xfId="87" applyNumberFormat="1" applyFont="1" applyFill="1" applyBorder="1" applyProtection="1"/>
    <xf numFmtId="169" fontId="7" fillId="0" borderId="16" xfId="87" applyNumberFormat="1" applyFont="1" applyFill="1" applyBorder="1" applyProtection="1"/>
    <xf numFmtId="170" fontId="78" fillId="0" borderId="14" xfId="0" applyNumberFormat="1" applyFont="1" applyFill="1" applyBorder="1" applyProtection="1"/>
    <xf numFmtId="0" fontId="81" fillId="0" borderId="0" xfId="0" applyFont="1" applyAlignment="1" applyProtection="1">
      <alignment horizontal="left"/>
    </xf>
    <xf numFmtId="0" fontId="52" fillId="26" borderId="0" xfId="0" applyFont="1" applyFill="1" applyAlignment="1" applyProtection="1">
      <alignment horizontal="left"/>
    </xf>
    <xf numFmtId="169" fontId="7" fillId="0" borderId="6" xfId="0" applyNumberFormat="1" applyFont="1" applyBorder="1" applyProtection="1"/>
    <xf numFmtId="0" fontId="78" fillId="26" borderId="14" xfId="86" applyNumberFormat="1" applyFont="1" applyFill="1" applyBorder="1" applyAlignment="1" applyProtection="1">
      <alignment horizontal="right"/>
    </xf>
    <xf numFmtId="0" fontId="54" fillId="26" borderId="20" xfId="0" applyFont="1" applyFill="1" applyBorder="1" applyAlignment="1" applyProtection="1">
      <alignment horizontal="right"/>
    </xf>
    <xf numFmtId="169" fontId="1" fillId="26" borderId="0" xfId="0" applyNumberFormat="1" applyFont="1" applyFill="1" applyBorder="1"/>
    <xf numFmtId="169" fontId="1" fillId="26" borderId="24" xfId="86" applyNumberFormat="1" applyFont="1" applyFill="1" applyBorder="1"/>
    <xf numFmtId="169" fontId="1" fillId="26" borderId="25" xfId="0" applyNumberFormat="1" applyFont="1" applyFill="1" applyBorder="1"/>
    <xf numFmtId="169" fontId="1" fillId="26" borderId="14" xfId="86" applyNumberFormat="1" applyFont="1" applyFill="1" applyBorder="1"/>
    <xf numFmtId="169" fontId="54" fillId="26" borderId="2" xfId="86" applyNumberFormat="1" applyFont="1" applyFill="1" applyBorder="1" applyAlignment="1" applyProtection="1">
      <alignment vertical="center"/>
    </xf>
    <xf numFmtId="0" fontId="39" fillId="0" borderId="11" xfId="0" applyFont="1" applyBorder="1" applyAlignment="1" applyProtection="1">
      <alignment horizontal="center"/>
    </xf>
    <xf numFmtId="0" fontId="65" fillId="0" borderId="0" xfId="0" applyFont="1" applyFill="1" applyBorder="1" applyAlignment="1" applyProtection="1">
      <alignment horizontal="center" wrapText="1"/>
    </xf>
    <xf numFmtId="0" fontId="0" fillId="0" borderId="0" xfId="0" applyAlignment="1" applyProtection="1">
      <alignment horizontal="left" vertical="top" wrapText="1"/>
    </xf>
    <xf numFmtId="168" fontId="7" fillId="0" borderId="17" xfId="191" applyFont="1" applyBorder="1" applyAlignment="1" applyProtection="1">
      <alignment wrapText="1"/>
    </xf>
    <xf numFmtId="0" fontId="7" fillId="0" borderId="18" xfId="0" applyFont="1" applyBorder="1" applyAlignment="1" applyProtection="1">
      <alignment wrapText="1"/>
    </xf>
    <xf numFmtId="0" fontId="7" fillId="0" borderId="19" xfId="0" applyFont="1" applyBorder="1" applyAlignment="1" applyProtection="1">
      <alignment wrapText="1"/>
    </xf>
    <xf numFmtId="0" fontId="7" fillId="0" borderId="13" xfId="0" applyFont="1" applyBorder="1" applyAlignment="1" applyProtection="1">
      <alignment wrapText="1"/>
    </xf>
    <xf numFmtId="0" fontId="7" fillId="0" borderId="0" xfId="0" applyFont="1" applyBorder="1" applyAlignment="1" applyProtection="1">
      <alignment wrapText="1"/>
    </xf>
    <xf numFmtId="0" fontId="7" fillId="0" borderId="14" xfId="0" applyFont="1" applyBorder="1" applyAlignment="1" applyProtection="1">
      <alignment wrapText="1"/>
    </xf>
    <xf numFmtId="0" fontId="6" fillId="0" borderId="0" xfId="0" applyFont="1" applyFill="1" applyAlignment="1" applyProtection="1">
      <alignment wrapText="1"/>
    </xf>
    <xf numFmtId="0" fontId="0" fillId="0" borderId="0" xfId="0" applyAlignment="1" applyProtection="1">
      <alignment wrapText="1"/>
    </xf>
    <xf numFmtId="0" fontId="7" fillId="0" borderId="0" xfId="0" applyFont="1" applyFill="1" applyBorder="1" applyAlignment="1" applyProtection="1">
      <alignment wrapText="1"/>
    </xf>
    <xf numFmtId="49" fontId="46" fillId="0" borderId="0" xfId="0" applyNumberFormat="1" applyFont="1" applyAlignment="1" applyProtection="1">
      <alignment horizontal="center"/>
    </xf>
    <xf numFmtId="0" fontId="46" fillId="0" borderId="0" xfId="0" applyFont="1" applyAlignment="1" applyProtection="1">
      <alignment horizontal="center"/>
    </xf>
    <xf numFmtId="0" fontId="6" fillId="0" borderId="0" xfId="178" quotePrefix="1" applyFont="1" applyBorder="1" applyAlignment="1" applyProtection="1">
      <alignment horizontal="center"/>
    </xf>
    <xf numFmtId="0" fontId="46" fillId="0" borderId="0" xfId="178" applyFont="1" applyBorder="1" applyAlignment="1" applyProtection="1">
      <alignment horizontal="center"/>
    </xf>
    <xf numFmtId="3" fontId="6" fillId="0" borderId="0" xfId="0" applyNumberFormat="1" applyFont="1" applyAlignment="1" applyProtection="1">
      <alignment horizontal="center"/>
    </xf>
    <xf numFmtId="0" fontId="46" fillId="0" borderId="0" xfId="0" applyNumberFormat="1" applyFont="1" applyAlignment="1" applyProtection="1">
      <alignment horizontal="center"/>
    </xf>
    <xf numFmtId="49" fontId="6" fillId="0" borderId="0" xfId="0" applyNumberFormat="1" applyFont="1" applyAlignment="1" applyProtection="1">
      <alignment horizontal="center"/>
    </xf>
    <xf numFmtId="0" fontId="6" fillId="0" borderId="0" xfId="0" applyNumberFormat="1" applyFont="1" applyAlignment="1" applyProtection="1">
      <alignment horizontal="center"/>
    </xf>
  </cellXfs>
  <cellStyles count="264">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00" xfId="263"/>
    <cellStyle name="Comma 2" xfId="87"/>
    <cellStyle name="Comma 2 2" xfId="88"/>
    <cellStyle name="Comma 3" xfId="89"/>
    <cellStyle name="Comma 3 2" xfId="90"/>
    <cellStyle name="Comma 3 3" xfId="91"/>
    <cellStyle name="Comma 3 3 2" xfId="92"/>
    <cellStyle name="Comma 3 4" xfId="93"/>
    <cellStyle name="Comma 3 5" xfId="94"/>
    <cellStyle name="Comma 4" xfId="95"/>
    <cellStyle name="Comma 4 2" xfId="96"/>
    <cellStyle name="Comma 4 3" xfId="97"/>
    <cellStyle name="Comma 5" xfId="98"/>
    <cellStyle name="Comma 5 2" xfId="99"/>
    <cellStyle name="Comma 6" xfId="100"/>
    <cellStyle name="Comma 7" xfId="101"/>
    <cellStyle name="Comma0" xfId="102"/>
    <cellStyle name="Comma0 2" xfId="103"/>
    <cellStyle name="Comma0 2 2" xfId="104"/>
    <cellStyle name="Comma0 3" xfId="105"/>
    <cellStyle name="Currency" xfId="106" builtinId="4"/>
    <cellStyle name="Currency 2" xfId="107"/>
    <cellStyle name="Currency 2 2" xfId="108"/>
    <cellStyle name="Currency 2 2 2" xfId="109"/>
    <cellStyle name="Currency 3" xfId="110"/>
    <cellStyle name="Currency 3 2" xfId="111"/>
    <cellStyle name="Currency 3 3" xfId="112"/>
    <cellStyle name="Currency 3 3 2" xfId="113"/>
    <cellStyle name="Currency 3 4" xfId="114"/>
    <cellStyle name="Currency 3 5" xfId="115"/>
    <cellStyle name="Currency 4" xfId="116"/>
    <cellStyle name="Currency 4 2" xfId="117"/>
    <cellStyle name="Currency 4 2 2" xfId="118"/>
    <cellStyle name="Currency 5" xfId="119"/>
    <cellStyle name="Currency 5 2" xfId="120"/>
    <cellStyle name="Currency 6" xfId="121"/>
    <cellStyle name="Currency 6 2" xfId="122"/>
    <cellStyle name="Currency 6 3" xfId="123"/>
    <cellStyle name="Currency 6 4" xfId="124"/>
    <cellStyle name="Currency0" xfId="125"/>
    <cellStyle name="Currency0 2" xfId="126"/>
    <cellStyle name="Currency0 2 2" xfId="127"/>
    <cellStyle name="Currency0 3" xfId="128"/>
    <cellStyle name="Date" xfId="129"/>
    <cellStyle name="Date 2" xfId="130"/>
    <cellStyle name="Date 2 2" xfId="131"/>
    <cellStyle name="Date 3" xfId="132"/>
    <cellStyle name="Explanatory Text" xfId="133" builtinId="53" customBuiltin="1"/>
    <cellStyle name="Explanatory Text 2" xfId="134"/>
    <cellStyle name="Fixed" xfId="135"/>
    <cellStyle name="Fixed 2" xfId="136"/>
    <cellStyle name="Fixed 2 2" xfId="137"/>
    <cellStyle name="Fixed 3" xfId="138"/>
    <cellStyle name="Good" xfId="139" builtinId="26" customBuiltin="1"/>
    <cellStyle name="Good 2" xfId="140"/>
    <cellStyle name="Heading 1" xfId="141" builtinId="16" customBuiltin="1"/>
    <cellStyle name="Heading 1 2" xfId="142"/>
    <cellStyle name="Heading 1 3" xfId="143"/>
    <cellStyle name="Heading 1 3 2" xfId="144"/>
    <cellStyle name="Heading 2" xfId="145" builtinId="17" customBuiltin="1"/>
    <cellStyle name="Heading 2 2" xfId="146"/>
    <cellStyle name="Heading 2 3" xfId="147"/>
    <cellStyle name="Heading 2 3 2" xfId="148"/>
    <cellStyle name="Heading 3" xfId="149" builtinId="18" customBuiltin="1"/>
    <cellStyle name="Heading 3 2" xfId="150"/>
    <cellStyle name="Heading 4" xfId="151" builtinId="19" customBuiltin="1"/>
    <cellStyle name="Heading 4 2" xfId="152"/>
    <cellStyle name="Heading1" xfId="153"/>
    <cellStyle name="Heading2" xfId="154"/>
    <cellStyle name="Input" xfId="155" builtinId="20" customBuiltin="1"/>
    <cellStyle name="Input 2" xfId="156"/>
    <cellStyle name="Linked Cell" xfId="157" builtinId="24" customBuiltin="1"/>
    <cellStyle name="Linked Cell 2" xfId="158"/>
    <cellStyle name="M" xfId="159"/>
    <cellStyle name="M 2" xfId="160"/>
    <cellStyle name="M 2 2" xfId="161"/>
    <cellStyle name="M 2 2 2" xfId="162"/>
    <cellStyle name="M 3" xfId="163"/>
    <cellStyle name="M 3 2" xfId="164"/>
    <cellStyle name="M 3 2 2" xfId="165"/>
    <cellStyle name="M 4" xfId="166"/>
    <cellStyle name="M 5" xfId="167"/>
    <cellStyle name="M 5 2" xfId="168"/>
    <cellStyle name="M 6" xfId="169"/>
    <cellStyle name="M 6 2" xfId="170"/>
    <cellStyle name="M 7" xfId="171"/>
    <cellStyle name="Neutral" xfId="172" builtinId="28" customBuiltin="1"/>
    <cellStyle name="Neutral 2" xfId="173"/>
    <cellStyle name="Normal" xfId="0" builtinId="0"/>
    <cellStyle name="Normal 12" xfId="174"/>
    <cellStyle name="Normal 2" xfId="175"/>
    <cellStyle name="Normal 2 2" xfId="176"/>
    <cellStyle name="Normal 3" xfId="177"/>
    <cellStyle name="Normal 3 2" xfId="178"/>
    <cellStyle name="Normal 3 3" xfId="179"/>
    <cellStyle name="Normal 3_OPCo Period I PJM  Formula Rate" xfId="180"/>
    <cellStyle name="Normal 4" xfId="181"/>
    <cellStyle name="Normal 4 2" xfId="182"/>
    <cellStyle name="Normal 4 3" xfId="183"/>
    <cellStyle name="Normal 4 3 2" xfId="184"/>
    <cellStyle name="Normal 4 4" xfId="185"/>
    <cellStyle name="Normal 4 5" xfId="186"/>
    <cellStyle name="Normal 4 5 2" xfId="187"/>
    <cellStyle name="Normal 4 5 3" xfId="188"/>
    <cellStyle name="Normal 4_PBOP Exhibit 1" xfId="189"/>
    <cellStyle name="Normal 5" xfId="190"/>
    <cellStyle name="Normal_FN1 Ratebase Draft SPP template (6-11-04) v2" xfId="191"/>
    <cellStyle name="Note" xfId="192" builtinId="10" customBuiltin="1"/>
    <cellStyle name="Note 2" xfId="193"/>
    <cellStyle name="Output" xfId="194" builtinId="21" customBuiltin="1"/>
    <cellStyle name="Output 2" xfId="195"/>
    <cellStyle name="Percent" xfId="196" builtinId="5"/>
    <cellStyle name="Percent 2" xfId="197"/>
    <cellStyle name="Percent 2 2" xfId="198"/>
    <cellStyle name="Percent 2 2 2" xfId="199"/>
    <cellStyle name="Percent 3" xfId="200"/>
    <cellStyle name="Percent 3 2" xfId="201"/>
    <cellStyle name="Percent 3 3" xfId="202"/>
    <cellStyle name="Percent 3 3 2" xfId="203"/>
    <cellStyle name="Percent 3 4" xfId="204"/>
    <cellStyle name="Percent 3 5" xfId="205"/>
    <cellStyle name="Percent 4" xfId="206"/>
    <cellStyle name="Percent 4 2" xfId="207"/>
    <cellStyle name="Percent 4 3" xfId="208"/>
    <cellStyle name="Percent 5" xfId="209"/>
    <cellStyle name="Percent 5 2" xfId="210"/>
    <cellStyle name="Percent 5 3" xfId="211"/>
    <cellStyle name="Percent 6" xfId="212"/>
    <cellStyle name="Percent 7" xfId="213"/>
    <cellStyle name="PSChar" xfId="214"/>
    <cellStyle name="PSChar 2" xfId="215"/>
    <cellStyle name="PSChar 2 2" xfId="216"/>
    <cellStyle name="PSDate" xfId="217"/>
    <cellStyle name="PSDec" xfId="218"/>
    <cellStyle name="PSdesc" xfId="219"/>
    <cellStyle name="PSHeading" xfId="220"/>
    <cellStyle name="PSInt" xfId="221"/>
    <cellStyle name="PSSpacer" xfId="222"/>
    <cellStyle name="PStest" xfId="223"/>
    <cellStyle name="R00A" xfId="224"/>
    <cellStyle name="R00B" xfId="225"/>
    <cellStyle name="R00L" xfId="226"/>
    <cellStyle name="R01A" xfId="227"/>
    <cellStyle name="R01B" xfId="228"/>
    <cellStyle name="R01H" xfId="229"/>
    <cellStyle name="R01L" xfId="230"/>
    <cellStyle name="R02A" xfId="231"/>
    <cellStyle name="R02B" xfId="232"/>
    <cellStyle name="R02H" xfId="233"/>
    <cellStyle name="R02L" xfId="234"/>
    <cellStyle name="R03A" xfId="235"/>
    <cellStyle name="R03B" xfId="236"/>
    <cellStyle name="R03H" xfId="237"/>
    <cellStyle name="R03L" xfId="238"/>
    <cellStyle name="R04A" xfId="239"/>
    <cellStyle name="R04B" xfId="240"/>
    <cellStyle name="R04H" xfId="241"/>
    <cellStyle name="R04L" xfId="242"/>
    <cellStyle name="R05A" xfId="243"/>
    <cellStyle name="R05B" xfId="244"/>
    <cellStyle name="R05H" xfId="245"/>
    <cellStyle name="R05L" xfId="246"/>
    <cellStyle name="R06A" xfId="247"/>
    <cellStyle name="R06B" xfId="248"/>
    <cellStyle name="R06H" xfId="249"/>
    <cellStyle name="R06L" xfId="250"/>
    <cellStyle name="R07A" xfId="251"/>
    <cellStyle name="R07B" xfId="252"/>
    <cellStyle name="R07H" xfId="253"/>
    <cellStyle name="R07L" xfId="254"/>
    <cellStyle name="Title" xfId="255" builtinId="15" customBuiltin="1"/>
    <cellStyle name="Title 2" xfId="256"/>
    <cellStyle name="Total" xfId="257" builtinId="25" customBuiltin="1"/>
    <cellStyle name="Total 2" xfId="258"/>
    <cellStyle name="Total 3" xfId="259"/>
    <cellStyle name="Total 3 2" xfId="260"/>
    <cellStyle name="Warning Text" xfId="261" builtinId="11" customBuiltin="1"/>
    <cellStyle name="Warning Text 2" xfId="262"/>
  </cellStyles>
  <dxfs count="49">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428625</xdr:colOff>
      <xdr:row>28</xdr:row>
      <xdr:rowOff>114300</xdr:rowOff>
    </xdr:from>
    <xdr:to>
      <xdr:col>4</xdr:col>
      <xdr:colOff>504825</xdr:colOff>
      <xdr:row>29</xdr:row>
      <xdr:rowOff>152400</xdr:rowOff>
    </xdr:to>
    <xdr:sp macro="" textlink="">
      <xdr:nvSpPr>
        <xdr:cNvPr id="1554" name="Text Box 1"/>
        <xdr:cNvSpPr txBox="1">
          <a:spLocks noChangeArrowheads="1"/>
        </xdr:cNvSpPr>
      </xdr:nvSpPr>
      <xdr:spPr bwMode="auto">
        <a:xfrm>
          <a:off x="4152900" y="5448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2936"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1912"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3960"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4984"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5996"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6977"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28966" name="Text Box 1"/>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31998"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33022"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1</xdr:row>
      <xdr:rowOff>0</xdr:rowOff>
    </xdr:to>
    <xdr:sp macro="" textlink="">
      <xdr:nvSpPr>
        <xdr:cNvPr id="35909" name="Text Box 1"/>
        <xdr:cNvSpPr txBox="1">
          <a:spLocks noChangeArrowheads="1"/>
        </xdr:cNvSpPr>
      </xdr:nvSpPr>
      <xdr:spPr bwMode="auto">
        <a:xfrm>
          <a:off x="3905250" y="0"/>
          <a:ext cx="1143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523875</xdr:colOff>
      <xdr:row>0</xdr:row>
      <xdr:rowOff>219075</xdr:rowOff>
    </xdr:to>
    <xdr:sp macro="" textlink="">
      <xdr:nvSpPr>
        <xdr:cNvPr id="2597" name="Text Box 1"/>
        <xdr:cNvSpPr txBox="1">
          <a:spLocks noChangeArrowheads="1"/>
        </xdr:cNvSpPr>
      </xdr:nvSpPr>
      <xdr:spPr bwMode="auto">
        <a:xfrm>
          <a:off x="3914775" y="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1</xdr:row>
      <xdr:rowOff>76200</xdr:rowOff>
    </xdr:to>
    <xdr:sp macro="" textlink="">
      <xdr:nvSpPr>
        <xdr:cNvPr id="36881" name="Text Box 1"/>
        <xdr:cNvSpPr txBox="1">
          <a:spLocks noChangeArrowheads="1"/>
        </xdr:cNvSpPr>
      </xdr:nvSpPr>
      <xdr:spPr bwMode="auto">
        <a:xfrm>
          <a:off x="3905250" y="0"/>
          <a:ext cx="114300"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12784"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3568" name="Text Box 1"/>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15856" name="Text Box 1"/>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16881" name="Text Box 1"/>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17904" name="Text Box 1"/>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18929" name="Text Box 1"/>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19898"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0920"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cing/dbw/SWPP%20Form%20Rate/Lila%20added/AEP%20SPP%20For%20Rate%20Proj%20w%2013%20mth%20rate%20base%20june-07%20-%20June-08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74"/>
  <sheetViews>
    <sheetView tabSelected="1" zoomScale="70" zoomScaleNormal="70" zoomScaleSheetLayoutView="80" workbookViewId="0"/>
  </sheetViews>
  <sheetFormatPr defaultColWidth="8.7265625" defaultRowHeight="12.75" customHeight="1"/>
  <cols>
    <col min="1" max="1" width="9.81640625" style="145" customWidth="1"/>
    <col min="2" max="2" width="7" style="145" bestFit="1" customWidth="1"/>
    <col min="3" max="3" width="43.1796875" style="145" customWidth="1"/>
    <col min="4" max="4" width="9" style="145" customWidth="1"/>
    <col min="5" max="5" width="15.7265625" style="145" customWidth="1"/>
    <col min="6" max="6" width="13.81640625" style="145" customWidth="1"/>
    <col min="7" max="7" width="14.26953125" style="145" customWidth="1"/>
    <col min="8" max="8" width="2.81640625" style="145" customWidth="1"/>
    <col min="9" max="9" width="13.7265625" style="145" customWidth="1"/>
    <col min="10" max="10" width="13.26953125" style="145" customWidth="1"/>
    <col min="11" max="11" width="13.81640625" style="145" bestFit="1" customWidth="1"/>
    <col min="12" max="12" width="16.453125" style="145" customWidth="1"/>
    <col min="13" max="13" width="2.453125" style="145" customWidth="1"/>
    <col min="14" max="14" width="6.1796875" style="145" customWidth="1"/>
    <col min="15" max="15" width="7.7265625" style="145" customWidth="1"/>
    <col min="16" max="16" width="10.7265625" style="145" customWidth="1"/>
    <col min="17" max="17" width="11.1796875" style="145" bestFit="1" customWidth="1"/>
    <col min="18" max="18" width="18.7265625" style="145" customWidth="1"/>
    <col min="19" max="19" width="2.453125" style="145" customWidth="1"/>
    <col min="20" max="20" width="14.26953125" style="145" customWidth="1"/>
    <col min="21" max="21" width="8.7265625" style="145"/>
    <col min="22" max="22" width="18" style="145" customWidth="1"/>
    <col min="23" max="16384" width="8.7265625" style="145"/>
  </cols>
  <sheetData>
    <row r="1" spans="1:23" ht="15.5">
      <c r="H1" s="146" t="s">
        <v>136</v>
      </c>
      <c r="U1" s="145">
        <v>2020</v>
      </c>
    </row>
    <row r="2" spans="1:23" ht="15.5">
      <c r="H2" s="147" t="s">
        <v>159</v>
      </c>
    </row>
    <row r="3" spans="1:23" ht="15.5">
      <c r="H3" s="148" t="str">
        <f>"For Calendar Year "&amp;U1-1&amp;" and Projected Year "&amp;U1</f>
        <v>For Calendar Year 2019 and Projected Year 2020</v>
      </c>
    </row>
    <row r="4" spans="1:23" ht="15.5">
      <c r="H4" s="149"/>
    </row>
    <row r="5" spans="1:23" ht="15.5">
      <c r="H5" s="150" t="s">
        <v>137</v>
      </c>
    </row>
    <row r="7" spans="1:23" ht="18">
      <c r="C7" s="151"/>
      <c r="E7" s="151"/>
      <c r="F7" s="151"/>
      <c r="G7" s="151"/>
      <c r="H7" s="151" t="s">
        <v>188</v>
      </c>
      <c r="I7" s="151"/>
      <c r="J7" s="151"/>
      <c r="K7" s="151"/>
      <c r="L7" s="151"/>
    </row>
    <row r="8" spans="1:23" ht="12.5">
      <c r="D8" s="152"/>
    </row>
    <row r="9" spans="1:23" ht="12.5">
      <c r="A9" s="145" t="str">
        <f>"Note: Some project's final trued-up cost may not meet SPP's $100,000 threshold for socialization.  In that case a true-up of the pirior year ARR will be made in columns "&amp;I12&amp;" through "&amp;Q12&amp;", but no projected ARR will be shown in columns "&amp;E12&amp;" through "&amp;LEFT(G12,3)&amp;" for the current year."</f>
        <v>Note: Some project's final trued-up cost may not meet SPP's $100,000 threshold for socialization.  In that case a true-up of the pirior year ARR will be made in columns (H) through (O), but no projected ARR will be shown in columns (E) through (G) for the current year.</v>
      </c>
    </row>
    <row r="12" spans="1:23" ht="22.5" customHeight="1">
      <c r="A12" s="153" t="s">
        <v>138</v>
      </c>
      <c r="B12" s="153" t="s">
        <v>139</v>
      </c>
      <c r="C12" s="154" t="s">
        <v>140</v>
      </c>
      <c r="D12" s="153" t="s">
        <v>141</v>
      </c>
      <c r="E12" s="153" t="s">
        <v>142</v>
      </c>
      <c r="F12" s="153" t="s">
        <v>143</v>
      </c>
      <c r="G12" s="153" t="str">
        <f>"(G) = "&amp;E12&amp;" + "&amp;F12</f>
        <v>(G) = (E) + (F)</v>
      </c>
      <c r="H12" s="153"/>
      <c r="I12" s="153" t="s">
        <v>144</v>
      </c>
      <c r="J12" s="153" t="s">
        <v>145</v>
      </c>
      <c r="K12" s="155" t="s">
        <v>167</v>
      </c>
      <c r="L12" s="153" t="str">
        <f>"(K) = "&amp;J12&amp;" - "&amp;K12</f>
        <v>(K) = (I) - (J)</v>
      </c>
      <c r="M12" s="153"/>
      <c r="N12" s="153" t="s">
        <v>168</v>
      </c>
      <c r="O12" s="153" t="s">
        <v>146</v>
      </c>
      <c r="P12" s="153" t="str">
        <f>"(N) = "&amp;N12&amp;"-"&amp;O12</f>
        <v>(N) = (L)-(M)</v>
      </c>
      <c r="Q12" s="153" t="s">
        <v>169</v>
      </c>
      <c r="R12" s="153" t="str">
        <f>"(P) = "&amp;I12&amp;"+"&amp;LEFT(L12,3)&amp;"+"&amp;LEFT(P12,3)&amp;"+"&amp;Q12</f>
        <v>(P) = (H)+(K)+(N)+(O)</v>
      </c>
      <c r="S12" s="153"/>
      <c r="T12" s="153" t="str">
        <f>"(Q) = "&amp;LEFT(G12,3)&amp;" + "&amp;LEFT(R12,3)</f>
        <v>(Q) = (G) + (P)</v>
      </c>
      <c r="U12" s="153"/>
      <c r="V12" s="156"/>
      <c r="W12" s="156"/>
    </row>
    <row r="13" spans="1:23" ht="16.5" customHeight="1">
      <c r="A13" s="157"/>
      <c r="B13" s="157"/>
      <c r="C13" s="157"/>
      <c r="D13" s="157"/>
      <c r="E13" s="647" t="str">
        <f>"Projected ARR For "&amp;U1&amp;" From WS-F"</f>
        <v>Projected ARR For 2020 From WS-F</v>
      </c>
      <c r="F13" s="647"/>
      <c r="G13" s="647"/>
      <c r="H13" s="157"/>
      <c r="I13" s="158" t="str">
        <f>"True-Up ARR CY"&amp;U1-1&amp;" From Worksheet G  (includes adjustment for SPP Collections)"</f>
        <v>True-Up ARR CY2019 From Worksheet G  (includes adjustment for SPP Collections)</v>
      </c>
      <c r="J13" s="158"/>
      <c r="K13" s="158"/>
      <c r="L13" s="158"/>
      <c r="M13" s="158"/>
      <c r="N13" s="158"/>
      <c r="O13" s="158"/>
      <c r="P13" s="158"/>
      <c r="Q13" s="158"/>
      <c r="R13" s="159"/>
      <c r="S13" s="157"/>
      <c r="T13" s="157"/>
      <c r="U13" s="157"/>
    </row>
    <row r="14" spans="1:23" ht="18" customHeight="1">
      <c r="G14" s="160"/>
      <c r="T14" s="648" t="str">
        <f>"Total ADJUSTED Revenue Requirement Effective
7/1/"&amp;U1&amp;""</f>
        <v>Total ADJUSTED Revenue Requirement Effective
7/1/2020</v>
      </c>
    </row>
    <row r="15" spans="1:23" ht="18" customHeight="1" thickBot="1">
      <c r="D15" s="157"/>
      <c r="E15" s="161"/>
      <c r="F15" s="161"/>
      <c r="G15" s="161"/>
      <c r="I15" s="158" t="s">
        <v>147</v>
      </c>
      <c r="J15" s="162"/>
      <c r="K15" s="162"/>
      <c r="L15" s="162"/>
      <c r="M15" s="163"/>
      <c r="N15" s="158" t="s">
        <v>166</v>
      </c>
      <c r="O15" s="164"/>
      <c r="P15" s="164"/>
      <c r="Q15" s="165"/>
      <c r="T15" s="648"/>
    </row>
    <row r="16" spans="1:23" ht="72.75" customHeight="1">
      <c r="A16" s="166" t="s">
        <v>156</v>
      </c>
      <c r="B16" s="167" t="s">
        <v>148</v>
      </c>
      <c r="C16" s="167" t="s">
        <v>116</v>
      </c>
      <c r="D16" s="168" t="s">
        <v>149</v>
      </c>
      <c r="E16" s="169" t="s">
        <v>164</v>
      </c>
      <c r="F16" s="170" t="s">
        <v>150</v>
      </c>
      <c r="G16" s="170" t="s">
        <v>151</v>
      </c>
      <c r="I16" s="171" t="s">
        <v>163</v>
      </c>
      <c r="J16" s="172" t="s">
        <v>268</v>
      </c>
      <c r="K16" s="171" t="s">
        <v>179</v>
      </c>
      <c r="L16" s="171" t="s">
        <v>165</v>
      </c>
      <c r="M16" s="171"/>
      <c r="N16" s="172" t="s">
        <v>152</v>
      </c>
      <c r="O16" s="172" t="s">
        <v>153</v>
      </c>
      <c r="P16" s="173" t="s">
        <v>154</v>
      </c>
      <c r="Q16" s="173" t="s">
        <v>155</v>
      </c>
      <c r="R16" s="169" t="s">
        <v>181</v>
      </c>
      <c r="T16" s="648"/>
      <c r="V16" s="174" t="s">
        <v>170</v>
      </c>
    </row>
    <row r="17" spans="1:23" ht="13">
      <c r="B17" s="157"/>
      <c r="C17" s="157"/>
      <c r="E17" s="175"/>
      <c r="F17" s="175"/>
      <c r="G17" s="175"/>
      <c r="I17" s="175"/>
      <c r="J17" s="175"/>
      <c r="K17" s="175"/>
      <c r="L17" s="175"/>
      <c r="M17" s="175"/>
      <c r="N17" s="175"/>
      <c r="O17" s="175"/>
      <c r="P17" s="175"/>
      <c r="Q17" s="175"/>
      <c r="R17" s="175"/>
      <c r="T17" s="175"/>
      <c r="V17" s="176"/>
    </row>
    <row r="18" spans="1:23" ht="13">
      <c r="A18" s="155" t="s">
        <v>194</v>
      </c>
      <c r="B18" s="153" t="s">
        <v>182</v>
      </c>
      <c r="C18" s="177" t="str">
        <f t="shared" ref="C18:F36" ca="1" si="0">INDIRECT("'"&amp; $A18 &amp; "'!" &amp;C$45)</f>
        <v>Snyder 138 kV Terminal Addition</v>
      </c>
      <c r="D18" s="178">
        <f t="shared" ca="1" si="0"/>
        <v>2010</v>
      </c>
      <c r="E18" s="179">
        <v>0</v>
      </c>
      <c r="F18" s="180">
        <f t="shared" ca="1" si="0"/>
        <v>0</v>
      </c>
      <c r="G18" s="180">
        <f t="shared" ref="G18:G23" ca="1" si="1">+E18+F18</f>
        <v>0</v>
      </c>
      <c r="H18" s="181"/>
      <c r="I18" s="182">
        <f t="shared" ref="I18:I36" ca="1" si="2">INDIRECT("'"&amp; $A18 &amp; "'!" &amp;I$45)</f>
        <v>1901.8854810385237</v>
      </c>
      <c r="J18" s="183">
        <v>118503.31573987207</v>
      </c>
      <c r="K18" s="183">
        <f>J18/(J$38)*K$38</f>
        <v>125499.06312681051</v>
      </c>
      <c r="L18" s="179">
        <f t="shared" ref="L18:L23" si="3">+J18-K18</f>
        <v>-6995.7473869384412</v>
      </c>
      <c r="M18" s="179"/>
      <c r="N18" s="180">
        <v>0</v>
      </c>
      <c r="O18" s="180">
        <v>0</v>
      </c>
      <c r="P18" s="180"/>
      <c r="Q18" s="183">
        <f ca="1">+V18/$V$38 * $Q$38</f>
        <v>-523.79400350318519</v>
      </c>
      <c r="R18" s="184">
        <f ca="1">I18+L18+P18+Q18</f>
        <v>-5617.6559094031027</v>
      </c>
      <c r="S18" s="184"/>
      <c r="T18" s="185">
        <f t="shared" ref="T18:T23" ca="1" si="4">+G18+R18</f>
        <v>-5617.6559094031027</v>
      </c>
      <c r="V18" s="186">
        <f t="shared" ref="V18:V23" ca="1" si="5">+I18+L18+P18</f>
        <v>-5093.8619058999175</v>
      </c>
      <c r="W18" s="145" t="str">
        <f t="shared" ref="W18:W23" si="6">A18</f>
        <v>OKT.001</v>
      </c>
    </row>
    <row r="19" spans="1:23" ht="13">
      <c r="A19" s="155" t="s">
        <v>195</v>
      </c>
      <c r="B19" s="153" t="s">
        <v>182</v>
      </c>
      <c r="C19" s="177" t="str">
        <f t="shared" ca="1" si="0"/>
        <v>Coffeyville T to Dearing 138 kV Rebuild - 1.1 miles</v>
      </c>
      <c r="D19" s="178">
        <f t="shared" ca="1" si="0"/>
        <v>2010</v>
      </c>
      <c r="E19" s="179">
        <v>0</v>
      </c>
      <c r="F19" s="180">
        <f t="shared" ca="1" si="0"/>
        <v>0</v>
      </c>
      <c r="G19" s="180">
        <f t="shared" ca="1" si="1"/>
        <v>0</v>
      </c>
      <c r="H19" s="181"/>
      <c r="I19" s="182">
        <f t="shared" ca="1" si="2"/>
        <v>2784.4319610480743</v>
      </c>
      <c r="J19" s="183">
        <v>160169.15499312466</v>
      </c>
      <c r="K19" s="183">
        <f>J19/(J$38)*K$38</f>
        <v>169624.61149672928</v>
      </c>
      <c r="L19" s="179">
        <f t="shared" si="3"/>
        <v>-9455.4565036046261</v>
      </c>
      <c r="M19" s="179"/>
      <c r="N19" s="180">
        <v>0</v>
      </c>
      <c r="O19" s="180">
        <v>0</v>
      </c>
      <c r="P19" s="180"/>
      <c r="Q19" s="183">
        <f t="shared" ref="Q19:Q35" ca="1" si="7">+V19/$V$38 * $Q$38</f>
        <v>-685.97121735210897</v>
      </c>
      <c r="R19" s="184">
        <f t="shared" ref="R19:R23" ca="1" si="8">I19+L19+P19+Q19</f>
        <v>-7356.9957599086611</v>
      </c>
      <c r="S19" s="184"/>
      <c r="T19" s="187">
        <f t="shared" ca="1" si="4"/>
        <v>-7356.9957599086611</v>
      </c>
      <c r="V19" s="186">
        <f t="shared" ca="1" si="5"/>
        <v>-6671.0245425565518</v>
      </c>
      <c r="W19" s="145" t="str">
        <f t="shared" si="6"/>
        <v>OKT.002</v>
      </c>
    </row>
    <row r="20" spans="1:23" ht="13">
      <c r="A20" s="155" t="s">
        <v>202</v>
      </c>
      <c r="B20" s="153" t="s">
        <v>182</v>
      </c>
      <c r="C20" s="177" t="str">
        <f t="shared" ca="1" si="0"/>
        <v>Tulsa Power Station Reactor</v>
      </c>
      <c r="D20" s="178">
        <f t="shared" ca="1" si="0"/>
        <v>2011</v>
      </c>
      <c r="E20" s="179">
        <v>0</v>
      </c>
      <c r="F20" s="180">
        <f t="shared" ca="1" si="0"/>
        <v>0</v>
      </c>
      <c r="G20" s="180">
        <f t="shared" ca="1" si="1"/>
        <v>0</v>
      </c>
      <c r="H20" s="181"/>
      <c r="I20" s="182">
        <f t="shared" ca="1" si="2"/>
        <v>1742.1433940639981</v>
      </c>
      <c r="J20" s="183">
        <v>101908.8933261754</v>
      </c>
      <c r="K20" s="183">
        <f>J20/(J$38)*K$38</f>
        <v>107925.00240921015</v>
      </c>
      <c r="L20" s="179">
        <f t="shared" si="3"/>
        <v>-6016.109083034753</v>
      </c>
      <c r="M20" s="179"/>
      <c r="N20" s="180">
        <v>0</v>
      </c>
      <c r="O20" s="180">
        <v>0</v>
      </c>
      <c r="P20" s="180"/>
      <c r="Q20" s="183">
        <f t="shared" ca="1" si="7"/>
        <v>-439.48533360676964</v>
      </c>
      <c r="R20" s="184">
        <f t="shared" ca="1" si="8"/>
        <v>-4713.4510225775248</v>
      </c>
      <c r="S20" s="184"/>
      <c r="T20" s="187">
        <f t="shared" ca="1" si="4"/>
        <v>-4713.4510225775248</v>
      </c>
      <c r="V20" s="186">
        <f t="shared" ca="1" si="5"/>
        <v>-4273.9656889707549</v>
      </c>
      <c r="W20" s="145" t="str">
        <f t="shared" si="6"/>
        <v>OKT.003</v>
      </c>
    </row>
    <row r="21" spans="1:23" ht="13">
      <c r="A21" s="155" t="s">
        <v>203</v>
      </c>
      <c r="B21" s="153" t="s">
        <v>182</v>
      </c>
      <c r="C21" s="177" t="str">
        <f t="shared" ca="1" si="0"/>
        <v xml:space="preserve">Bartlesville SE to Coffeyville T Rebuild </v>
      </c>
      <c r="D21" s="178">
        <f t="shared" ca="1" si="0"/>
        <v>2011</v>
      </c>
      <c r="E21" s="179">
        <v>0</v>
      </c>
      <c r="F21" s="180">
        <f t="shared" ca="1" si="0"/>
        <v>0</v>
      </c>
      <c r="G21" s="180">
        <f t="shared" ca="1" si="1"/>
        <v>0</v>
      </c>
      <c r="H21" s="181"/>
      <c r="I21" s="182">
        <f t="shared" ca="1" si="2"/>
        <v>24304.180288543226</v>
      </c>
      <c r="J21" s="183">
        <v>1811512.8217907238</v>
      </c>
      <c r="K21" s="183">
        <f>J21/(J$38)*K$38</f>
        <v>1918454.0158858013</v>
      </c>
      <c r="L21" s="179">
        <f t="shared" si="3"/>
        <v>-106941.19409507746</v>
      </c>
      <c r="M21" s="179"/>
      <c r="N21" s="180">
        <v>0</v>
      </c>
      <c r="O21" s="180">
        <v>0</v>
      </c>
      <c r="P21" s="180"/>
      <c r="Q21" s="183">
        <f t="shared" ca="1" si="7"/>
        <v>-8497.4373272935354</v>
      </c>
      <c r="R21" s="184">
        <f t="shared" ca="1" si="8"/>
        <v>-91134.451133827766</v>
      </c>
      <c r="S21" s="184"/>
      <c r="T21" s="187">
        <f t="shared" ca="1" si="4"/>
        <v>-91134.451133827766</v>
      </c>
      <c r="V21" s="186">
        <f t="shared" ca="1" si="5"/>
        <v>-82637.013806534233</v>
      </c>
      <c r="W21" s="145" t="str">
        <f t="shared" si="6"/>
        <v>OKT.004</v>
      </c>
    </row>
    <row r="22" spans="1:23" ht="13">
      <c r="A22" s="155" t="s">
        <v>207</v>
      </c>
      <c r="B22" s="153" t="s">
        <v>182</v>
      </c>
      <c r="C22" s="177" t="str">
        <f t="shared" ca="1" si="0"/>
        <v>Install 345kV terminal at Valliant***</v>
      </c>
      <c r="D22" s="178">
        <f t="shared" ca="1" si="0"/>
        <v>2012</v>
      </c>
      <c r="E22" s="179">
        <v>0</v>
      </c>
      <c r="F22" s="180">
        <f t="shared" ca="1" si="0"/>
        <v>0</v>
      </c>
      <c r="G22" s="180">
        <f t="shared" ca="1" si="1"/>
        <v>0</v>
      </c>
      <c r="H22" s="181"/>
      <c r="I22" s="182">
        <f t="shared" ca="1" si="2"/>
        <v>0</v>
      </c>
      <c r="J22" s="183">
        <v>0</v>
      </c>
      <c r="K22" s="183">
        <v>0</v>
      </c>
      <c r="L22" s="179">
        <f t="shared" si="3"/>
        <v>0</v>
      </c>
      <c r="M22" s="179"/>
      <c r="N22" s="180">
        <v>0</v>
      </c>
      <c r="O22" s="180">
        <v>0</v>
      </c>
      <c r="P22" s="180"/>
      <c r="Q22" s="183">
        <f t="shared" ca="1" si="7"/>
        <v>0</v>
      </c>
      <c r="R22" s="184">
        <f t="shared" ca="1" si="8"/>
        <v>0</v>
      </c>
      <c r="S22" s="184"/>
      <c r="T22" s="187">
        <f t="shared" ca="1" si="4"/>
        <v>0</v>
      </c>
      <c r="V22" s="186">
        <f t="shared" ca="1" si="5"/>
        <v>0</v>
      </c>
      <c r="W22" s="145" t="str">
        <f t="shared" si="6"/>
        <v>OKT.005</v>
      </c>
    </row>
    <row r="23" spans="1:23" ht="25">
      <c r="A23" s="155" t="s">
        <v>208</v>
      </c>
      <c r="B23" s="153" t="s">
        <v>182</v>
      </c>
      <c r="C23" s="177" t="str">
        <f t="shared" ca="1" si="0"/>
        <v xml:space="preserve">Canadian River - McAlester City 138 kV Line Conversion </v>
      </c>
      <c r="D23" s="178">
        <f t="shared" ca="1" si="0"/>
        <v>2013</v>
      </c>
      <c r="E23" s="179">
        <v>0</v>
      </c>
      <c r="F23" s="180">
        <f t="shared" ca="1" si="0"/>
        <v>0</v>
      </c>
      <c r="G23" s="180">
        <f t="shared" ca="1" si="1"/>
        <v>0</v>
      </c>
      <c r="H23" s="181"/>
      <c r="I23" s="182">
        <f t="shared" ca="1" si="2"/>
        <v>83964.991452114657</v>
      </c>
      <c r="J23" s="183">
        <v>4935311.0443271641</v>
      </c>
      <c r="K23" s="183">
        <f t="shared" ref="K23:K36" si="9">J23/(J$38)*K$38</f>
        <v>5226663.1396378893</v>
      </c>
      <c r="L23" s="179">
        <f t="shared" si="3"/>
        <v>-291352.09531072527</v>
      </c>
      <c r="M23" s="179"/>
      <c r="N23" s="180">
        <v>0</v>
      </c>
      <c r="O23" s="180">
        <v>0</v>
      </c>
      <c r="P23" s="180"/>
      <c r="Q23" s="183">
        <f t="shared" ca="1" si="7"/>
        <v>-21325.297664472411</v>
      </c>
      <c r="R23" s="184">
        <f t="shared" ca="1" si="8"/>
        <v>-228712.40152308304</v>
      </c>
      <c r="S23" s="184"/>
      <c r="T23" s="187">
        <f t="shared" ca="1" si="4"/>
        <v>-228712.40152308304</v>
      </c>
      <c r="V23" s="186">
        <f t="shared" ca="1" si="5"/>
        <v>-207387.10385861062</v>
      </c>
      <c r="W23" s="145" t="str">
        <f t="shared" si="6"/>
        <v>OKT.006</v>
      </c>
    </row>
    <row r="24" spans="1:23" ht="13">
      <c r="A24" s="155" t="s">
        <v>216</v>
      </c>
      <c r="B24" s="153" t="s">
        <v>182</v>
      </c>
      <c r="C24" s="177" t="str">
        <f t="shared" ca="1" si="0"/>
        <v xml:space="preserve">Cornville Station Conversion </v>
      </c>
      <c r="D24" s="178">
        <f t="shared" ca="1" si="0"/>
        <v>2014</v>
      </c>
      <c r="E24" s="179">
        <v>0</v>
      </c>
      <c r="F24" s="180">
        <f t="shared" ca="1" si="0"/>
        <v>0</v>
      </c>
      <c r="G24" s="180">
        <f t="shared" ref="G24:G30" ca="1" si="10">+E24+F24</f>
        <v>0</v>
      </c>
      <c r="H24" s="181"/>
      <c r="I24" s="182">
        <f t="shared" ca="1" si="2"/>
        <v>32037.688592522405</v>
      </c>
      <c r="J24" s="183">
        <v>1758080.1220098534</v>
      </c>
      <c r="K24" s="183">
        <f t="shared" si="9"/>
        <v>1861866.9598952732</v>
      </c>
      <c r="L24" s="179">
        <f t="shared" ref="L24:L30" si="11">+J24-K24</f>
        <v>-103786.83788541984</v>
      </c>
      <c r="M24" s="179"/>
      <c r="N24" s="180">
        <v>0</v>
      </c>
      <c r="O24" s="180">
        <v>0</v>
      </c>
      <c r="P24" s="180"/>
      <c r="Q24" s="183">
        <f t="shared" ca="1" si="7"/>
        <v>-7377.8549262487331</v>
      </c>
      <c r="R24" s="184">
        <f t="shared" ref="R24:R30" ca="1" si="12">I24+L24+P24+Q24</f>
        <v>-79127.004219146169</v>
      </c>
      <c r="S24" s="184"/>
      <c r="T24" s="187">
        <f t="shared" ref="T24:T30" ca="1" si="13">+G24+R24</f>
        <v>-79127.004219146169</v>
      </c>
      <c r="V24" s="186">
        <f t="shared" ref="V24:V30" ca="1" si="14">+I24+L24+P24</f>
        <v>-71749.149292897433</v>
      </c>
      <c r="W24" s="145" t="str">
        <f t="shared" ref="W24:W30" si="15">A24</f>
        <v>OKT.007</v>
      </c>
    </row>
    <row r="25" spans="1:23" ht="13">
      <c r="A25" s="155" t="s">
        <v>217</v>
      </c>
      <c r="B25" s="153" t="s">
        <v>182</v>
      </c>
      <c r="C25" s="177" t="str">
        <f t="shared" ca="1" si="0"/>
        <v>Coweta 69 kV Capacitor</v>
      </c>
      <c r="D25" s="178">
        <f t="shared" ca="1" si="0"/>
        <v>2014</v>
      </c>
      <c r="E25" s="188">
        <v>0</v>
      </c>
      <c r="F25" s="189">
        <f t="shared" ca="1" si="0"/>
        <v>0</v>
      </c>
      <c r="G25" s="189">
        <f t="shared" ca="1" si="10"/>
        <v>0</v>
      </c>
      <c r="H25" s="190"/>
      <c r="I25" s="182">
        <f t="shared" ca="1" si="2"/>
        <v>4653.1643926791439</v>
      </c>
      <c r="J25" s="183">
        <v>323278.70877986873</v>
      </c>
      <c r="K25" s="183">
        <f t="shared" si="9"/>
        <v>342363.20585136005</v>
      </c>
      <c r="L25" s="188">
        <f t="shared" si="11"/>
        <v>-19084.497071491322</v>
      </c>
      <c r="M25" s="188"/>
      <c r="N25" s="189">
        <v>0</v>
      </c>
      <c r="O25" s="189">
        <v>0</v>
      </c>
      <c r="P25" s="180"/>
      <c r="Q25" s="191">
        <f t="shared" ca="1" si="7"/>
        <v>-1483.9517951922062</v>
      </c>
      <c r="R25" s="192">
        <f t="shared" ca="1" si="12"/>
        <v>-15915.284474004384</v>
      </c>
      <c r="S25" s="192"/>
      <c r="T25" s="193">
        <f t="shared" ca="1" si="13"/>
        <v>-15915.284474004384</v>
      </c>
      <c r="V25" s="186">
        <f ca="1">+I25+L25+P25</f>
        <v>-14431.332678812178</v>
      </c>
      <c r="W25" s="145" t="str">
        <f t="shared" si="15"/>
        <v>OKT.008</v>
      </c>
    </row>
    <row r="26" spans="1:23" ht="13">
      <c r="A26" s="194" t="s">
        <v>225</v>
      </c>
      <c r="B26" s="153" t="s">
        <v>182</v>
      </c>
      <c r="C26" s="177" t="str">
        <f t="shared" ca="1" si="0"/>
        <v>Prattville-Bluebell 138 kV</v>
      </c>
      <c r="D26" s="178">
        <f t="shared" ca="1" si="0"/>
        <v>2015</v>
      </c>
      <c r="E26" s="188">
        <v>0</v>
      </c>
      <c r="F26" s="189">
        <f t="shared" ca="1" si="0"/>
        <v>0</v>
      </c>
      <c r="G26" s="189">
        <f t="shared" ca="1" si="10"/>
        <v>0</v>
      </c>
      <c r="H26" s="190"/>
      <c r="I26" s="182">
        <f t="shared" ca="1" si="2"/>
        <v>26879.203860886162</v>
      </c>
      <c r="J26" s="183">
        <v>1491687.8515347643</v>
      </c>
      <c r="K26" s="183">
        <f t="shared" si="9"/>
        <v>1579748.4372183678</v>
      </c>
      <c r="L26" s="188">
        <f t="shared" si="11"/>
        <v>-88060.585683603538</v>
      </c>
      <c r="M26" s="188"/>
      <c r="N26" s="189">
        <v>0</v>
      </c>
      <c r="O26" s="189">
        <v>0</v>
      </c>
      <c r="P26" s="180"/>
      <c r="Q26" s="191">
        <f t="shared" ca="1" si="7"/>
        <v>-6291.1876130094233</v>
      </c>
      <c r="R26" s="192">
        <f t="shared" ca="1" si="12"/>
        <v>-67472.569435726793</v>
      </c>
      <c r="S26" s="192"/>
      <c r="T26" s="193">
        <f t="shared" ca="1" si="13"/>
        <v>-67472.569435726793</v>
      </c>
      <c r="V26" s="186">
        <f t="shared" ca="1" si="14"/>
        <v>-61181.381822717376</v>
      </c>
      <c r="W26" s="145" t="str">
        <f t="shared" si="15"/>
        <v>OKT.009</v>
      </c>
    </row>
    <row r="27" spans="1:23" ht="13">
      <c r="A27" s="194" t="s">
        <v>226</v>
      </c>
      <c r="B27" s="153" t="s">
        <v>182</v>
      </c>
      <c r="C27" s="177" t="str">
        <f t="shared" ca="1" si="0"/>
        <v>Wapanucka Customer Connection</v>
      </c>
      <c r="D27" s="178">
        <f t="shared" ca="1" si="0"/>
        <v>2013</v>
      </c>
      <c r="E27" s="188">
        <v>0</v>
      </c>
      <c r="F27" s="189">
        <f t="shared" ca="1" si="0"/>
        <v>0</v>
      </c>
      <c r="G27" s="189">
        <f t="shared" ca="1" si="10"/>
        <v>0</v>
      </c>
      <c r="H27" s="190"/>
      <c r="I27" s="182">
        <f t="shared" ca="1" si="2"/>
        <v>35312.366364019806</v>
      </c>
      <c r="J27" s="183">
        <v>1255322.3111925949</v>
      </c>
      <c r="K27" s="183">
        <f t="shared" si="9"/>
        <v>1329429.2483990474</v>
      </c>
      <c r="L27" s="188">
        <f t="shared" si="11"/>
        <v>-74106.93720645248</v>
      </c>
      <c r="M27" s="188"/>
      <c r="N27" s="189">
        <v>0</v>
      </c>
      <c r="O27" s="189">
        <v>0</v>
      </c>
      <c r="P27" s="180"/>
      <c r="Q27" s="191">
        <f t="shared" ca="1" si="7"/>
        <v>-3989.1861913668827</v>
      </c>
      <c r="R27" s="192">
        <f t="shared" ca="1" si="12"/>
        <v>-42783.757033799557</v>
      </c>
      <c r="S27" s="192"/>
      <c r="T27" s="193">
        <f t="shared" ca="1" si="13"/>
        <v>-42783.757033799557</v>
      </c>
      <c r="V27" s="186">
        <f t="shared" ca="1" si="14"/>
        <v>-38794.570842432673</v>
      </c>
      <c r="W27" s="145" t="str">
        <f t="shared" si="15"/>
        <v>OKT.010</v>
      </c>
    </row>
    <row r="28" spans="1:23" ht="13">
      <c r="A28" s="194" t="s">
        <v>227</v>
      </c>
      <c r="B28" s="153" t="s">
        <v>182</v>
      </c>
      <c r="C28" s="177" t="str">
        <f t="shared" ca="1" si="0"/>
        <v>Grady Customer Connection</v>
      </c>
      <c r="D28" s="178">
        <f t="shared" ca="1" si="0"/>
        <v>2014</v>
      </c>
      <c r="E28" s="188">
        <v>0</v>
      </c>
      <c r="F28" s="189">
        <f t="shared" ca="1" si="0"/>
        <v>0</v>
      </c>
      <c r="G28" s="189">
        <f t="shared" ca="1" si="10"/>
        <v>0</v>
      </c>
      <c r="H28" s="190"/>
      <c r="I28" s="182">
        <f t="shared" ca="1" si="2"/>
        <v>63254.840205323417</v>
      </c>
      <c r="J28" s="183">
        <v>3517323.8947126861</v>
      </c>
      <c r="K28" s="183">
        <f t="shared" si="9"/>
        <v>3724966.2656609048</v>
      </c>
      <c r="L28" s="188">
        <f t="shared" si="11"/>
        <v>-207642.37094821874</v>
      </c>
      <c r="M28" s="188"/>
      <c r="N28" s="189">
        <v>0</v>
      </c>
      <c r="O28" s="189">
        <v>0</v>
      </c>
      <c r="P28" s="180"/>
      <c r="Q28" s="191">
        <f t="shared" ca="1" si="7"/>
        <v>-14847.148230729108</v>
      </c>
      <c r="R28" s="192">
        <f t="shared" ca="1" si="12"/>
        <v>-159234.67897362442</v>
      </c>
      <c r="S28" s="192"/>
      <c r="T28" s="193">
        <f t="shared" ca="1" si="13"/>
        <v>-159234.67897362442</v>
      </c>
      <c r="V28" s="186">
        <f t="shared" ca="1" si="14"/>
        <v>-144387.53074289532</v>
      </c>
      <c r="W28" s="145" t="str">
        <f t="shared" si="15"/>
        <v>OKT.011</v>
      </c>
    </row>
    <row r="29" spans="1:23" ht="13">
      <c r="A29" s="194" t="s">
        <v>228</v>
      </c>
      <c r="B29" s="153" t="s">
        <v>182</v>
      </c>
      <c r="C29" s="177" t="str">
        <f t="shared" ca="1" si="0"/>
        <v>Darlington-Red Rock 138 kV line</v>
      </c>
      <c r="D29" s="178">
        <f t="shared" ca="1" si="0"/>
        <v>2013</v>
      </c>
      <c r="E29" s="188">
        <v>0</v>
      </c>
      <c r="F29" s="189">
        <f t="shared" ca="1" si="0"/>
        <v>0</v>
      </c>
      <c r="G29" s="189">
        <f t="shared" ca="1" si="10"/>
        <v>0</v>
      </c>
      <c r="H29" s="190"/>
      <c r="I29" s="182">
        <f t="shared" ca="1" si="2"/>
        <v>68946.267190324143</v>
      </c>
      <c r="J29" s="183">
        <v>2307954.3783235746</v>
      </c>
      <c r="K29" s="183">
        <f t="shared" si="9"/>
        <v>2444202.5981351808</v>
      </c>
      <c r="L29" s="188">
        <f t="shared" si="11"/>
        <v>-136248.21981160622</v>
      </c>
      <c r="M29" s="188"/>
      <c r="N29" s="189">
        <v>0</v>
      </c>
      <c r="O29" s="189">
        <v>0</v>
      </c>
      <c r="P29" s="180"/>
      <c r="Q29" s="191">
        <f t="shared" ca="1" si="7"/>
        <v>-6920.5565165110411</v>
      </c>
      <c r="R29" s="192">
        <f t="shared" ca="1" si="12"/>
        <v>-74222.509137793124</v>
      </c>
      <c r="S29" s="192"/>
      <c r="T29" s="193">
        <f t="shared" ca="1" si="13"/>
        <v>-74222.509137793124</v>
      </c>
      <c r="V29" s="186">
        <f t="shared" ca="1" si="14"/>
        <v>-67301.952621282078</v>
      </c>
      <c r="W29" s="145" t="str">
        <f t="shared" si="15"/>
        <v>OKT.012</v>
      </c>
    </row>
    <row r="30" spans="1:23" ht="13">
      <c r="A30" s="194" t="s">
        <v>233</v>
      </c>
      <c r="B30" s="153" t="s">
        <v>182</v>
      </c>
      <c r="C30" s="177" t="str">
        <f t="shared" ca="1" si="0"/>
        <v>Ellis 138 kV</v>
      </c>
      <c r="D30" s="178">
        <f t="shared" ca="1" si="0"/>
        <v>2013</v>
      </c>
      <c r="E30" s="188">
        <v>0</v>
      </c>
      <c r="F30" s="189">
        <f t="shared" ca="1" si="0"/>
        <v>0</v>
      </c>
      <c r="G30" s="189">
        <f t="shared" ca="1" si="10"/>
        <v>0</v>
      </c>
      <c r="H30" s="190"/>
      <c r="I30" s="182">
        <f t="shared" ca="1" si="2"/>
        <v>611561.28076019743</v>
      </c>
      <c r="J30" s="183">
        <v>277202.71132486576</v>
      </c>
      <c r="K30" s="183">
        <f t="shared" si="9"/>
        <v>293567.14915764355</v>
      </c>
      <c r="L30" s="188">
        <f t="shared" si="11"/>
        <v>-16364.437832777796</v>
      </c>
      <c r="M30" s="188"/>
      <c r="N30" s="189">
        <v>0</v>
      </c>
      <c r="O30" s="189">
        <v>0</v>
      </c>
      <c r="P30" s="180"/>
      <c r="Q30" s="191">
        <f t="shared" ca="1" si="7"/>
        <v>61203.178057951634</v>
      </c>
      <c r="R30" s="192">
        <f t="shared" ca="1" si="12"/>
        <v>656400.0209853712</v>
      </c>
      <c r="S30" s="192"/>
      <c r="T30" s="193">
        <f t="shared" ca="1" si="13"/>
        <v>656400.0209853712</v>
      </c>
      <c r="V30" s="186">
        <f t="shared" ca="1" si="14"/>
        <v>595196.84292741958</v>
      </c>
      <c r="W30" s="145" t="str">
        <f t="shared" si="15"/>
        <v>OKT.013</v>
      </c>
    </row>
    <row r="31" spans="1:23" ht="13">
      <c r="A31" s="194" t="s">
        <v>236</v>
      </c>
      <c r="B31" s="153" t="s">
        <v>182</v>
      </c>
      <c r="C31" s="177" t="str">
        <f t="shared" ca="1" si="0"/>
        <v>Valliant-NW Texarkana 345 kV</v>
      </c>
      <c r="D31" s="178">
        <f t="shared" ca="1" si="0"/>
        <v>2016</v>
      </c>
      <c r="E31" s="188">
        <v>0</v>
      </c>
      <c r="F31" s="189">
        <f t="shared" ca="1" si="0"/>
        <v>0</v>
      </c>
      <c r="G31" s="189">
        <f ca="1">+E31+F31</f>
        <v>0</v>
      </c>
      <c r="H31" s="190"/>
      <c r="I31" s="182">
        <f t="shared" ca="1" si="2"/>
        <v>-50008.27845297195</v>
      </c>
      <c r="J31" s="183">
        <v>13024474.326578073</v>
      </c>
      <c r="K31" s="183">
        <f t="shared" si="9"/>
        <v>13793363.632902758</v>
      </c>
      <c r="L31" s="188">
        <f t="shared" ref="L31:L36" si="16">+J31-K31</f>
        <v>-768889.30632468499</v>
      </c>
      <c r="M31" s="188"/>
      <c r="N31" s="189">
        <v>0</v>
      </c>
      <c r="O31" s="189">
        <v>0</v>
      </c>
      <c r="P31" s="180"/>
      <c r="Q31" s="191">
        <f t="shared" ca="1" si="7"/>
        <v>-84205.982084628078</v>
      </c>
      <c r="R31" s="192">
        <f t="shared" ref="R31:R36" ca="1" si="17">I31+L31+P31+Q31</f>
        <v>-903103.56686228502</v>
      </c>
      <c r="S31" s="192"/>
      <c r="T31" s="193">
        <f t="shared" ref="T31:T36" ca="1" si="18">+G31+R31</f>
        <v>-903103.56686228502</v>
      </c>
      <c r="V31" s="186">
        <f t="shared" ref="V31:V36" ca="1" si="19">+I31+L31+P31</f>
        <v>-818897.58477765694</v>
      </c>
      <c r="W31" s="145" t="str">
        <f t="shared" ref="W31:W36" si="20">A31</f>
        <v>OKT.014</v>
      </c>
    </row>
    <row r="32" spans="1:23" ht="13">
      <c r="A32" s="194" t="s">
        <v>239</v>
      </c>
      <c r="B32" s="153" t="s">
        <v>182</v>
      </c>
      <c r="C32" s="177" t="str">
        <f t="shared" ca="1" si="0"/>
        <v>Darlington Roman Nose 138 kv</v>
      </c>
      <c r="D32" s="178">
        <f t="shared" ca="1" si="0"/>
        <v>2017</v>
      </c>
      <c r="E32" s="188">
        <v>0</v>
      </c>
      <c r="F32" s="189">
        <f t="shared" ca="1" si="0"/>
        <v>0</v>
      </c>
      <c r="G32" s="189">
        <f ca="1">+E32+F32</f>
        <v>0</v>
      </c>
      <c r="H32" s="190"/>
      <c r="I32" s="182">
        <f t="shared" ca="1" si="2"/>
        <v>99319.89582780865</v>
      </c>
      <c r="J32" s="183">
        <v>1659201.7392259657</v>
      </c>
      <c r="K32" s="183">
        <f t="shared" si="9"/>
        <v>1757151.3717668236</v>
      </c>
      <c r="L32" s="188">
        <f t="shared" si="16"/>
        <v>-97949.632540857885</v>
      </c>
      <c r="M32" s="188"/>
      <c r="N32" s="189">
        <v>0</v>
      </c>
      <c r="O32" s="189">
        <v>0</v>
      </c>
      <c r="P32" s="180"/>
      <c r="Q32" s="191">
        <f t="shared" ca="1" si="7"/>
        <v>140.9020711955431</v>
      </c>
      <c r="R32" s="192">
        <f t="shared" ca="1" si="17"/>
        <v>1511.1653581463083</v>
      </c>
      <c r="S32" s="192"/>
      <c r="T32" s="193">
        <f t="shared" ca="1" si="18"/>
        <v>1511.1653581463083</v>
      </c>
      <c r="V32" s="186">
        <f t="shared" ca="1" si="19"/>
        <v>1370.2632869507652</v>
      </c>
      <c r="W32" s="145" t="str">
        <f t="shared" si="20"/>
        <v>OKT.015</v>
      </c>
    </row>
    <row r="33" spans="1:23" ht="13">
      <c r="A33" s="194" t="s">
        <v>248</v>
      </c>
      <c r="B33" s="153" t="s">
        <v>182</v>
      </c>
      <c r="C33" s="177" t="str">
        <f t="shared" ca="1" si="0"/>
        <v>Carnegie South-Southwestern 123 kv line rebuild</v>
      </c>
      <c r="D33" s="178">
        <f t="shared" ca="1" si="0"/>
        <v>2017</v>
      </c>
      <c r="E33" s="188">
        <v>0</v>
      </c>
      <c r="F33" s="189">
        <f t="shared" ca="1" si="0"/>
        <v>0</v>
      </c>
      <c r="G33" s="189">
        <f ca="1">+E33+F33</f>
        <v>0</v>
      </c>
      <c r="H33" s="190"/>
      <c r="I33" s="182">
        <f t="shared" ca="1" si="2"/>
        <v>126307.7206779574</v>
      </c>
      <c r="J33" s="183">
        <v>1408601.6303679945</v>
      </c>
      <c r="K33" s="183">
        <f>J33/(J$38)*K$38</f>
        <v>1491757.2881937656</v>
      </c>
      <c r="L33" s="188">
        <f t="shared" si="16"/>
        <v>-83155.657825771021</v>
      </c>
      <c r="M33" s="188"/>
      <c r="N33" s="189">
        <v>0</v>
      </c>
      <c r="O33" s="189">
        <v>0</v>
      </c>
      <c r="P33" s="180"/>
      <c r="Q33" s="191">
        <f t="shared" ca="1" si="7"/>
        <v>4437.2604083727338</v>
      </c>
      <c r="R33" s="192">
        <f t="shared" ca="1" si="17"/>
        <v>47589.323260559118</v>
      </c>
      <c r="S33" s="192"/>
      <c r="T33" s="193">
        <f t="shared" ca="1" si="18"/>
        <v>47589.323260559118</v>
      </c>
      <c r="V33" s="186">
        <f t="shared" ca="1" si="19"/>
        <v>43152.062852186384</v>
      </c>
      <c r="W33" s="145" t="str">
        <f t="shared" si="20"/>
        <v>OKT.016</v>
      </c>
    </row>
    <row r="34" spans="1:23" ht="13">
      <c r="A34" s="194" t="s">
        <v>249</v>
      </c>
      <c r="B34" s="153" t="s">
        <v>182</v>
      </c>
      <c r="C34" s="177" t="str">
        <f t="shared" ca="1" si="0"/>
        <v>Chisholm - Gracemont 345 kv line and station</v>
      </c>
      <c r="D34" s="178">
        <f t="shared" ca="1" si="0"/>
        <v>2017</v>
      </c>
      <c r="E34" s="188">
        <v>0</v>
      </c>
      <c r="F34" s="189">
        <f t="shared" ca="1" si="0"/>
        <v>0</v>
      </c>
      <c r="G34" s="189">
        <f ca="1">+E34+F34</f>
        <v>0</v>
      </c>
      <c r="H34" s="190"/>
      <c r="I34" s="182">
        <f t="shared" ca="1" si="2"/>
        <v>980448.60182941146</v>
      </c>
      <c r="J34" s="183">
        <v>12626698.526788646</v>
      </c>
      <c r="K34" s="183">
        <f t="shared" si="9"/>
        <v>13372105.460535057</v>
      </c>
      <c r="L34" s="188">
        <f t="shared" si="16"/>
        <v>-745406.93374641053</v>
      </c>
      <c r="M34" s="188"/>
      <c r="N34" s="189">
        <v>0</v>
      </c>
      <c r="O34" s="189">
        <v>0</v>
      </c>
      <c r="P34" s="180"/>
      <c r="Q34" s="191">
        <f t="shared" ca="1" si="7"/>
        <v>24168.974069098127</v>
      </c>
      <c r="R34" s="192">
        <f t="shared" ca="1" si="17"/>
        <v>259210.64215209906</v>
      </c>
      <c r="S34" s="192"/>
      <c r="T34" s="193">
        <f t="shared" ca="1" si="18"/>
        <v>259210.64215209906</v>
      </c>
      <c r="V34" s="186">
        <f t="shared" ca="1" si="19"/>
        <v>235041.66808300093</v>
      </c>
      <c r="W34" s="145" t="str">
        <f t="shared" si="20"/>
        <v>OKT.017</v>
      </c>
    </row>
    <row r="35" spans="1:23" ht="13">
      <c r="A35" s="194" t="s">
        <v>265</v>
      </c>
      <c r="B35" s="153" t="s">
        <v>182</v>
      </c>
      <c r="C35" s="177" t="str">
        <f t="shared" ca="1" si="0"/>
        <v>Duncan-Comanche Tap 69 KV Rebuild</v>
      </c>
      <c r="D35" s="178">
        <f t="shared" ca="1" si="0"/>
        <v>2018</v>
      </c>
      <c r="E35" s="188">
        <v>0</v>
      </c>
      <c r="F35" s="189">
        <f t="shared" ca="1" si="0"/>
        <v>0</v>
      </c>
      <c r="G35" s="189">
        <f ca="1">+E35+F35</f>
        <v>0</v>
      </c>
      <c r="H35" s="190"/>
      <c r="I35" s="182">
        <f t="shared" ca="1" si="2"/>
        <v>69568.672688211547</v>
      </c>
      <c r="J35" s="183">
        <v>930333.23821495997</v>
      </c>
      <c r="K35" s="183">
        <f t="shared" si="9"/>
        <v>985254.70838302583</v>
      </c>
      <c r="L35" s="188">
        <f t="shared" si="16"/>
        <v>-54921.470168065862</v>
      </c>
      <c r="M35" s="188"/>
      <c r="N35" s="189">
        <v>0</v>
      </c>
      <c r="O35" s="189">
        <v>0</v>
      </c>
      <c r="P35" s="180"/>
      <c r="Q35" s="191">
        <f t="shared" ca="1" si="7"/>
        <v>1506.149359734879</v>
      </c>
      <c r="R35" s="192">
        <f t="shared" ca="1" si="17"/>
        <v>16153.351879880564</v>
      </c>
      <c r="S35" s="192"/>
      <c r="T35" s="193">
        <f t="shared" ca="1" si="18"/>
        <v>16153.351879880564</v>
      </c>
      <c r="V35" s="186">
        <f t="shared" ca="1" si="19"/>
        <v>14647.202520145685</v>
      </c>
      <c r="W35" s="145" t="str">
        <f t="shared" si="20"/>
        <v>OKT.018</v>
      </c>
    </row>
    <row r="36" spans="1:23" ht="13">
      <c r="A36" s="194" t="s">
        <v>289</v>
      </c>
      <c r="B36" s="153" t="s">
        <v>182</v>
      </c>
      <c r="C36" s="177" t="str">
        <f t="shared" ca="1" si="0"/>
        <v>Fort Towson-Valliant 69 KV Line Rebuild</v>
      </c>
      <c r="D36" s="178">
        <f t="shared" ca="1" si="0"/>
        <v>2019</v>
      </c>
      <c r="E36" s="188"/>
      <c r="F36" s="189"/>
      <c r="G36" s="189"/>
      <c r="H36" s="190"/>
      <c r="I36" s="182">
        <f t="shared" ca="1" si="2"/>
        <v>239895.2863540767</v>
      </c>
      <c r="J36" s="183">
        <v>1134524.7126540036</v>
      </c>
      <c r="K36" s="183">
        <f t="shared" si="9"/>
        <v>1201500.461344349</v>
      </c>
      <c r="L36" s="188">
        <f t="shared" si="16"/>
        <v>-66975.748690345325</v>
      </c>
      <c r="M36" s="188"/>
      <c r="N36" s="189">
        <v>0</v>
      </c>
      <c r="O36" s="189">
        <v>0</v>
      </c>
      <c r="P36" s="180"/>
      <c r="Q36" s="191">
        <f ca="1">+V36/$V$38 * $Q$38</f>
        <v>17781.050721437685</v>
      </c>
      <c r="R36" s="192">
        <f t="shared" ca="1" si="17"/>
        <v>190700.58838516905</v>
      </c>
      <c r="S36" s="192"/>
      <c r="T36" s="193">
        <f t="shared" ca="1" si="18"/>
        <v>190700.58838516905</v>
      </c>
      <c r="V36" s="186">
        <f t="shared" ca="1" si="19"/>
        <v>172919.53766373137</v>
      </c>
      <c r="W36" s="145" t="str">
        <f t="shared" si="20"/>
        <v>OKT.019</v>
      </c>
    </row>
    <row r="37" spans="1:23" ht="13">
      <c r="A37" s="156"/>
      <c r="B37" s="156"/>
      <c r="C37" s="156"/>
      <c r="D37" s="153"/>
      <c r="E37" s="192"/>
      <c r="F37" s="192"/>
      <c r="G37" s="192"/>
      <c r="H37" s="184"/>
      <c r="I37" s="192"/>
      <c r="J37" s="192"/>
      <c r="K37" s="195"/>
      <c r="L37" s="192"/>
      <c r="M37" s="192"/>
      <c r="N37" s="192"/>
      <c r="O37" s="192"/>
      <c r="P37" s="192"/>
      <c r="Q37" s="192"/>
      <c r="R37" s="192"/>
      <c r="S37" s="184"/>
      <c r="T37" s="193"/>
      <c r="V37" s="176"/>
    </row>
    <row r="38" spans="1:23" ht="13">
      <c r="A38" s="156"/>
      <c r="B38" s="156"/>
      <c r="C38" s="196" t="s">
        <v>183</v>
      </c>
      <c r="D38" s="197"/>
      <c r="E38" s="198">
        <f>SUM(E18:E37)</f>
        <v>0</v>
      </c>
      <c r="F38" s="198">
        <f ca="1">SUM(F18:F37)</f>
        <v>0</v>
      </c>
      <c r="G38" s="198">
        <f ca="1">SUM(G18:G37)</f>
        <v>0</v>
      </c>
      <c r="H38" s="198"/>
      <c r="I38" s="198">
        <f ca="1">SUM(I18:I37)</f>
        <v>2422874.3428672547</v>
      </c>
      <c r="J38" s="198">
        <f>SUM(J18:J37)</f>
        <v>48842089.38188491</v>
      </c>
      <c r="K38" s="646">
        <v>51725442.619999997</v>
      </c>
      <c r="L38" s="198">
        <f>SUM(L18:L37)</f>
        <v>-2883353.2381150858</v>
      </c>
      <c r="M38" s="198"/>
      <c r="N38" s="198">
        <f>SUM(N18:N37)</f>
        <v>0</v>
      </c>
      <c r="O38" s="198">
        <f>SUM(O18:O37)</f>
        <v>0</v>
      </c>
      <c r="P38" s="198">
        <f>SUM(P18:P37)</f>
        <v>0</v>
      </c>
      <c r="Q38" s="199">
        <v>-47350.33821612288</v>
      </c>
      <c r="R38" s="198">
        <f ca="1">SUM(R18:R37)</f>
        <v>-507829.23346395441</v>
      </c>
      <c r="S38" s="198"/>
      <c r="T38" s="198">
        <f ca="1">SUM(T18:T37)</f>
        <v>-507829.23346395441</v>
      </c>
      <c r="V38" s="200">
        <f ca="1">SUM(V18:V37)</f>
        <v>-460478.89524783136</v>
      </c>
      <c r="W38" s="201" t="s">
        <v>180</v>
      </c>
    </row>
    <row r="39" spans="1:23" ht="13.5" thickBot="1">
      <c r="A39" s="156"/>
      <c r="B39" s="156"/>
      <c r="C39" s="202"/>
      <c r="D39" s="156"/>
      <c r="E39" s="203"/>
      <c r="F39" s="204" t="str">
        <f ca="1">IF(F38=OKT.WS.F.BPU.ATRR.Projected!O19,"","Error")</f>
        <v/>
      </c>
      <c r="G39" s="205"/>
      <c r="H39" s="156"/>
      <c r="J39" s="206"/>
      <c r="K39" s="207"/>
      <c r="L39" s="207"/>
      <c r="M39" s="207"/>
      <c r="N39" s="207"/>
      <c r="O39" s="207"/>
      <c r="P39" s="207"/>
      <c r="Q39" s="207"/>
      <c r="R39" s="184"/>
      <c r="S39" s="184"/>
      <c r="T39" s="184"/>
      <c r="V39" s="208"/>
      <c r="W39" s="201"/>
    </row>
    <row r="40" spans="1:23" ht="12.5">
      <c r="A40" s="156"/>
      <c r="B40" s="156"/>
      <c r="C40" s="209" t="s">
        <v>212</v>
      </c>
      <c r="D40" s="156"/>
      <c r="E40" s="184"/>
      <c r="F40" s="184"/>
      <c r="G40" s="184"/>
      <c r="H40" s="156"/>
      <c r="I40" s="210"/>
      <c r="J40" s="210"/>
      <c r="K40" s="156" t="s">
        <v>290</v>
      </c>
      <c r="L40" s="156"/>
      <c r="M40" s="156"/>
      <c r="N40" s="207"/>
      <c r="O40" s="207"/>
      <c r="P40" s="207"/>
      <c r="Q40" s="207"/>
      <c r="R40" s="184"/>
      <c r="S40" s="184"/>
      <c r="T40" s="184"/>
    </row>
    <row r="41" spans="1:23" ht="12.5">
      <c r="A41" s="156"/>
      <c r="B41" s="156"/>
      <c r="C41" s="211" t="s">
        <v>157</v>
      </c>
      <c r="D41" s="156"/>
      <c r="E41" s="184"/>
      <c r="F41" s="184"/>
      <c r="G41" s="184"/>
      <c r="H41" s="156"/>
      <c r="J41" s="212"/>
      <c r="L41" s="156"/>
      <c r="M41" s="156"/>
      <c r="N41" s="207"/>
      <c r="O41" s="207"/>
      <c r="P41" s="207"/>
      <c r="Q41" s="207"/>
      <c r="R41" s="207"/>
      <c r="S41" s="156"/>
      <c r="T41" s="156"/>
    </row>
    <row r="42" spans="1:23" ht="12.5">
      <c r="E42" s="213"/>
      <c r="F42" s="213"/>
      <c r="G42" s="213"/>
      <c r="I42" s="213"/>
      <c r="J42" s="214"/>
      <c r="N42" s="215"/>
      <c r="O42" s="215"/>
      <c r="P42" s="215"/>
      <c r="Q42" s="215"/>
      <c r="R42" s="215"/>
    </row>
    <row r="43" spans="1:23" ht="12.5">
      <c r="E43" s="213"/>
      <c r="F43" s="213"/>
      <c r="G43" s="213"/>
    </row>
    <row r="44" spans="1:23" ht="12.5">
      <c r="A44" s="216" t="s">
        <v>158</v>
      </c>
      <c r="B44" s="217"/>
      <c r="C44" s="217"/>
      <c r="D44" s="217"/>
      <c r="E44" s="218"/>
      <c r="F44" s="218"/>
      <c r="G44" s="218"/>
      <c r="H44" s="217"/>
      <c r="I44" s="217"/>
      <c r="J44" s="217"/>
      <c r="K44" s="217"/>
      <c r="L44" s="217"/>
      <c r="M44" s="217"/>
      <c r="N44" s="217"/>
      <c r="O44" s="219"/>
      <c r="V44" s="145" t="s">
        <v>171</v>
      </c>
    </row>
    <row r="45" spans="1:23" ht="15.5">
      <c r="A45" s="220" t="s">
        <v>161</v>
      </c>
      <c r="B45" s="221"/>
      <c r="C45" s="222" t="str">
        <f ca="1">RIGHT(CELL("address",OKT.001!D7),4)</f>
        <v>$D$7</v>
      </c>
      <c r="D45" s="222" t="str">
        <f ca="1">RIGHT(CELL("address",OKT.001!D11),4)</f>
        <v>D$11</v>
      </c>
      <c r="E45" s="222" t="str">
        <f ca="1">RIGHT(CELL("address",OKT.001!N5),4)</f>
        <v>$N$5</v>
      </c>
      <c r="F45" s="222" t="str">
        <f ca="1">RIGHT(CELL("address",OKT.001!N7),4)</f>
        <v>$N$7</v>
      </c>
      <c r="G45" s="221"/>
      <c r="H45" s="223"/>
      <c r="I45" s="222" t="str">
        <f ca="1">RIGHT(CELL("address",OKT.001!M90),4)</f>
        <v>M$90</v>
      </c>
      <c r="J45" s="222"/>
      <c r="K45" s="221"/>
      <c r="L45" s="221"/>
      <c r="M45" s="221"/>
      <c r="N45" s="222" t="str">
        <f ca="1">RIGHT(CELL("address",OKT.001!N88),4)</f>
        <v>N$88</v>
      </c>
      <c r="O45" s="224" t="str">
        <f ca="1">RIGHT(CELL("address",OKT.001!N89),4)</f>
        <v>N$89</v>
      </c>
      <c r="P45" s="175" t="s">
        <v>160</v>
      </c>
      <c r="V45" s="145" t="s">
        <v>172</v>
      </c>
    </row>
    <row r="46" spans="1:23" ht="12.5">
      <c r="A46" s="225" t="s">
        <v>162</v>
      </c>
      <c r="B46" s="226"/>
      <c r="C46" s="226"/>
      <c r="D46" s="226"/>
      <c r="E46" s="227"/>
      <c r="F46" s="227"/>
      <c r="G46" s="227"/>
      <c r="H46" s="226"/>
      <c r="I46" s="226"/>
      <c r="J46" s="226"/>
      <c r="K46" s="226"/>
      <c r="L46" s="226"/>
      <c r="M46" s="226"/>
      <c r="N46" s="226"/>
      <c r="O46" s="228"/>
      <c r="V46" s="145" t="s">
        <v>173</v>
      </c>
    </row>
    <row r="47" spans="1:23" ht="12.5">
      <c r="E47" s="213"/>
      <c r="F47" s="213"/>
      <c r="G47" s="213"/>
      <c r="V47" s="145" t="s">
        <v>174</v>
      </c>
    </row>
    <row r="48" spans="1:23" ht="12.5">
      <c r="E48" s="213"/>
      <c r="F48" s="213"/>
      <c r="G48" s="213"/>
      <c r="V48" s="145" t="s">
        <v>175</v>
      </c>
    </row>
    <row r="53" spans="5:10" ht="12.75" customHeight="1">
      <c r="G53" s="157"/>
      <c r="I53" s="229"/>
      <c r="J53" s="229"/>
    </row>
    <row r="54" spans="5:10" ht="12.75" customHeight="1">
      <c r="E54" s="230"/>
      <c r="F54" s="230"/>
      <c r="G54" s="231"/>
      <c r="I54" s="230"/>
      <c r="J54" s="232"/>
    </row>
    <row r="55" spans="5:10" ht="12.75" customHeight="1">
      <c r="E55" s="230"/>
      <c r="F55" s="230"/>
      <c r="G55" s="231"/>
      <c r="I55" s="230"/>
      <c r="J55" s="232"/>
    </row>
    <row r="56" spans="5:10" ht="12.75" customHeight="1">
      <c r="E56" s="230"/>
      <c r="F56" s="230"/>
      <c r="G56" s="231"/>
      <c r="I56" s="230"/>
      <c r="J56" s="232"/>
    </row>
    <row r="57" spans="5:10" ht="12.75" customHeight="1">
      <c r="E57" s="230"/>
      <c r="F57" s="230"/>
      <c r="G57" s="231"/>
      <c r="I57" s="230"/>
      <c r="J57" s="232"/>
    </row>
    <row r="58" spans="5:10" ht="12.75" customHeight="1">
      <c r="E58" s="230"/>
      <c r="F58" s="230"/>
      <c r="G58" s="231"/>
      <c r="I58" s="230"/>
      <c r="J58" s="232"/>
    </row>
    <row r="59" spans="5:10" ht="12.75" customHeight="1">
      <c r="E59" s="230"/>
      <c r="F59" s="230"/>
      <c r="G59" s="231"/>
      <c r="I59" s="230"/>
      <c r="J59" s="232"/>
    </row>
    <row r="60" spans="5:10" ht="12.75" customHeight="1">
      <c r="E60" s="230"/>
      <c r="F60" s="230"/>
      <c r="G60" s="231"/>
      <c r="I60" s="230"/>
      <c r="J60" s="232"/>
    </row>
    <row r="61" spans="5:10" ht="12.75" customHeight="1">
      <c r="E61" s="230"/>
      <c r="F61" s="230"/>
      <c r="G61" s="231"/>
      <c r="I61" s="230"/>
      <c r="J61" s="232"/>
    </row>
    <row r="62" spans="5:10" ht="12.75" customHeight="1">
      <c r="E62" s="230"/>
      <c r="F62" s="230"/>
      <c r="G62" s="231"/>
      <c r="I62" s="230"/>
      <c r="J62" s="232"/>
    </row>
    <row r="63" spans="5:10" ht="12.75" customHeight="1">
      <c r="E63" s="230"/>
      <c r="F63" s="230"/>
      <c r="G63" s="231"/>
      <c r="I63" s="230"/>
      <c r="J63" s="232"/>
    </row>
    <row r="64" spans="5:10" ht="12.75" customHeight="1">
      <c r="E64" s="230"/>
      <c r="F64" s="230"/>
      <c r="G64" s="231"/>
      <c r="I64" s="230"/>
      <c r="J64" s="232"/>
    </row>
    <row r="65" spans="5:10" ht="12.75" customHeight="1">
      <c r="E65" s="230"/>
      <c r="F65" s="230"/>
      <c r="G65" s="231"/>
      <c r="I65" s="230"/>
      <c r="J65" s="232"/>
    </row>
    <row r="66" spans="5:10" ht="12.75" customHeight="1">
      <c r="E66" s="230"/>
      <c r="F66" s="230"/>
      <c r="G66" s="231"/>
      <c r="I66" s="230"/>
      <c r="J66" s="232"/>
    </row>
    <row r="67" spans="5:10" ht="12.75" customHeight="1">
      <c r="E67" s="230"/>
      <c r="F67" s="230"/>
      <c r="G67" s="231"/>
      <c r="I67" s="230"/>
      <c r="J67" s="232"/>
    </row>
    <row r="68" spans="5:10" ht="12.75" customHeight="1">
      <c r="E68" s="230"/>
      <c r="F68" s="230"/>
      <c r="G68" s="231"/>
      <c r="I68" s="230"/>
      <c r="J68" s="232"/>
    </row>
    <row r="69" spans="5:10" ht="12.75" customHeight="1">
      <c r="E69" s="230"/>
      <c r="F69" s="230"/>
      <c r="G69" s="231"/>
      <c r="I69" s="230"/>
      <c r="J69" s="232"/>
    </row>
    <row r="70" spans="5:10" ht="12.75" customHeight="1">
      <c r="E70" s="230"/>
      <c r="F70" s="230"/>
      <c r="G70" s="231"/>
      <c r="I70" s="230"/>
      <c r="J70" s="232"/>
    </row>
    <row r="71" spans="5:10" ht="12.75" customHeight="1">
      <c r="E71" s="230"/>
      <c r="F71" s="230"/>
      <c r="G71" s="231"/>
      <c r="I71" s="230"/>
      <c r="J71" s="232"/>
    </row>
    <row r="72" spans="5:10" ht="12.75" customHeight="1">
      <c r="E72" s="230"/>
      <c r="F72" s="230"/>
      <c r="G72" s="231"/>
      <c r="I72" s="230"/>
      <c r="J72" s="232"/>
    </row>
    <row r="73" spans="5:10" ht="12.75" customHeight="1">
      <c r="E73" s="230"/>
      <c r="F73" s="230"/>
      <c r="I73" s="230"/>
      <c r="J73" s="232"/>
    </row>
    <row r="74" spans="5:10" ht="12.75" customHeight="1">
      <c r="E74" s="230"/>
      <c r="F74" s="230"/>
      <c r="G74" s="231"/>
      <c r="I74" s="230"/>
      <c r="J74" s="232"/>
    </row>
  </sheetData>
  <mergeCells count="2">
    <mergeCell ref="E13:G13"/>
    <mergeCell ref="T14:T16"/>
  </mergeCells>
  <phoneticPr fontId="62" type="noConversion"/>
  <pageMargins left="0.5" right="0.5" top="1" bottom="1" header="0.65" footer="0.5"/>
  <pageSetup scale="53" orientation="landscape" r:id="rId1"/>
  <headerFooter alignWithMargins="0">
    <oddHeader xml:space="preserve">&amp;R&amp;16AEPTCo - SPP Formula Rate
Schedule 11 Revenue Requirements
&amp;A
Page: &amp;P of &amp;N
</oddHeader>
    <oddFooter>&amp;L&amp;A</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U163"/>
  <sheetViews>
    <sheetView view="pageBreakPreview" zoomScale="80" zoomScaleNormal="100" zoomScaleSheetLayoutView="80" workbookViewId="0">
      <selection activeCell="D10" sqref="D10"/>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8.54296875" style="145" customWidth="1"/>
    <col min="11" max="11" width="17.7265625" style="145" customWidth="1"/>
    <col min="12" max="12" width="16.1796875" style="145" customWidth="1"/>
    <col min="13" max="13" width="18.7265625" style="145" customWidth="1"/>
    <col min="14" max="14" width="20.453125" style="145" customWidth="1"/>
    <col min="15" max="15" width="20"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"&amp;RIGHT(MID(CELL("filename",$A$1),FIND("]",CELL("filename",$A$1))+1,256),1)&amp;" of "&amp;COUNT('OKT.001:OKT.xyz - blank'!$P$3)-1</f>
        <v>OKT Project 7 of 19</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1250604.5823260741</v>
      </c>
      <c r="P5" s="244"/>
      <c r="R5" s="244"/>
      <c r="S5" s="244"/>
      <c r="T5" s="244"/>
      <c r="U5" s="244"/>
    </row>
    <row r="6" spans="1:21" ht="15.5">
      <c r="C6" s="236"/>
      <c r="D6" s="293"/>
      <c r="E6" s="244"/>
      <c r="F6" s="244"/>
      <c r="G6" s="244"/>
      <c r="H6" s="450"/>
      <c r="I6" s="450"/>
      <c r="J6" s="451"/>
      <c r="K6" s="452" t="s">
        <v>243</v>
      </c>
      <c r="L6" s="453"/>
      <c r="M6" s="279"/>
      <c r="N6" s="454">
        <f>VLOOKUP(I10,C17:I73,6)</f>
        <v>1250604.5823260741</v>
      </c>
      <c r="O6" s="244"/>
      <c r="P6" s="244"/>
      <c r="R6" s="244"/>
      <c r="S6" s="244"/>
      <c r="T6" s="244"/>
      <c r="U6" s="244"/>
    </row>
    <row r="7" spans="1:21" ht="13.5" thickBot="1">
      <c r="C7" s="455" t="s">
        <v>46</v>
      </c>
      <c r="D7" s="456" t="s">
        <v>214</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C9" s="464" t="s">
        <v>48</v>
      </c>
      <c r="D9" s="465" t="s">
        <v>213</v>
      </c>
      <c r="E9" s="466"/>
      <c r="F9" s="466"/>
      <c r="G9" s="466"/>
      <c r="H9" s="466"/>
      <c r="I9" s="467"/>
      <c r="J9" s="468"/>
      <c r="O9" s="469"/>
      <c r="P9" s="279"/>
      <c r="R9" s="244"/>
      <c r="S9" s="244"/>
      <c r="T9" s="244"/>
      <c r="U9" s="244"/>
    </row>
    <row r="10" spans="1:21" ht="13">
      <c r="C10" s="470" t="s">
        <v>49</v>
      </c>
      <c r="D10" s="471">
        <v>10218098</v>
      </c>
      <c r="E10" s="300" t="s">
        <v>50</v>
      </c>
      <c r="F10" s="469"/>
      <c r="G10" s="409"/>
      <c r="H10" s="409"/>
      <c r="I10" s="472">
        <f>+OKT.WS.F.BPU.ATRR.Projected!R100</f>
        <v>2019</v>
      </c>
      <c r="J10" s="468"/>
      <c r="K10" s="295" t="s">
        <v>51</v>
      </c>
      <c r="O10" s="279"/>
      <c r="P10" s="279"/>
      <c r="R10" s="244"/>
      <c r="S10" s="244"/>
      <c r="T10" s="244"/>
      <c r="U10" s="244"/>
    </row>
    <row r="11" spans="1:21" ht="12.5">
      <c r="C11" s="473" t="s">
        <v>52</v>
      </c>
      <c r="D11" s="474">
        <v>2014</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10</v>
      </c>
      <c r="E12" s="473" t="s">
        <v>55</v>
      </c>
      <c r="F12" s="409"/>
      <c r="G12" s="221"/>
      <c r="H12" s="221"/>
      <c r="I12" s="477">
        <f>OKT.WS.F.BPU.ATRR.Projected!$F$78</f>
        <v>0.11749102697326873</v>
      </c>
      <c r="J12" s="414"/>
      <c r="K12" s="145" t="s">
        <v>56</v>
      </c>
      <c r="O12" s="279"/>
      <c r="P12" s="279"/>
      <c r="R12" s="244"/>
      <c r="S12" s="244"/>
      <c r="T12" s="244"/>
      <c r="U12" s="244"/>
    </row>
    <row r="13" spans="1:21" ht="12.5">
      <c r="C13" s="473" t="s">
        <v>57</v>
      </c>
      <c r="D13" s="475">
        <f>+OKT.WS.F.BPU.ATRR.Projected!F$89</f>
        <v>41</v>
      </c>
      <c r="E13" s="473" t="s">
        <v>58</v>
      </c>
      <c r="F13" s="409"/>
      <c r="G13" s="221"/>
      <c r="H13" s="221"/>
      <c r="I13" s="477">
        <f>IF(G5="",I12,OKT.WS.F.BPU.ATRR.Projected!$F$77)</f>
        <v>0.11749102697326873</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249221.90243902439</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73" si="0">IF(D17=F16,"","IU")</f>
        <v>IU</v>
      </c>
      <c r="C17" s="496">
        <f>IF(D11= "","-",D11)</f>
        <v>2014</v>
      </c>
      <c r="D17" s="497">
        <v>10780000</v>
      </c>
      <c r="E17" s="498">
        <v>108783.19956647091</v>
      </c>
      <c r="F17" s="497">
        <v>10671216.80043353</v>
      </c>
      <c r="G17" s="498">
        <v>891533.50922396348</v>
      </c>
      <c r="H17" s="500">
        <v>891533.50922396348</v>
      </c>
      <c r="I17" s="501">
        <v>0</v>
      </c>
      <c r="J17" s="501"/>
      <c r="K17" s="502">
        <f t="shared" ref="K17:K22" si="1">G17</f>
        <v>891533.50922396348</v>
      </c>
      <c r="L17" s="503">
        <f t="shared" ref="L17:L22" si="2">IF(K17&lt;&gt;0,+G17-K17,0)</f>
        <v>0</v>
      </c>
      <c r="M17" s="502">
        <f t="shared" ref="M17:M22" si="3">H17</f>
        <v>891533.50922396348</v>
      </c>
      <c r="N17" s="504">
        <f>IF(M17&lt;&gt;0,+H17-M17,0)</f>
        <v>0</v>
      </c>
      <c r="O17" s="505">
        <f>+N17-L17</f>
        <v>0</v>
      </c>
      <c r="P17" s="279"/>
      <c r="R17" s="244"/>
      <c r="S17" s="244"/>
      <c r="T17" s="244"/>
      <c r="U17" s="244"/>
    </row>
    <row r="18" spans="2:21" ht="12.5">
      <c r="B18" s="145" t="str">
        <f t="shared" si="0"/>
        <v/>
      </c>
      <c r="C18" s="496">
        <f>IF(D11="","-",+C17+1)</f>
        <v>2015</v>
      </c>
      <c r="D18" s="497">
        <v>10671216.80043353</v>
      </c>
      <c r="E18" s="499">
        <v>177316.90361351607</v>
      </c>
      <c r="F18" s="497">
        <v>10493899.896820014</v>
      </c>
      <c r="G18" s="499">
        <v>1258875.2944357994</v>
      </c>
      <c r="H18" s="500">
        <v>1258875.2944357994</v>
      </c>
      <c r="I18" s="501">
        <v>0</v>
      </c>
      <c r="J18" s="501"/>
      <c r="K18" s="507">
        <f t="shared" si="1"/>
        <v>1258875.2944357994</v>
      </c>
      <c r="L18" s="508">
        <f t="shared" si="2"/>
        <v>0</v>
      </c>
      <c r="M18" s="507">
        <f t="shared" si="3"/>
        <v>1258875.2944357994</v>
      </c>
      <c r="N18" s="505">
        <f>IF(M18&lt;&gt;0,+H18-M18,0)</f>
        <v>0</v>
      </c>
      <c r="O18" s="505">
        <f>+N18-L18</f>
        <v>0</v>
      </c>
      <c r="P18" s="279"/>
      <c r="R18" s="244"/>
      <c r="S18" s="244"/>
      <c r="T18" s="244"/>
      <c r="U18" s="244"/>
    </row>
    <row r="19" spans="2:21" ht="12.5">
      <c r="B19" s="145" t="str">
        <f t="shared" si="0"/>
        <v>IU</v>
      </c>
      <c r="C19" s="496">
        <f>IF(D11="","-",+C18+1)</f>
        <v>2016</v>
      </c>
      <c r="D19" s="497">
        <v>9931637.8968200125</v>
      </c>
      <c r="E19" s="499">
        <v>212319.01830997164</v>
      </c>
      <c r="F19" s="497">
        <v>9719318.8785100412</v>
      </c>
      <c r="G19" s="499">
        <v>1260842.7357894429</v>
      </c>
      <c r="H19" s="500">
        <v>1260842.7357894429</v>
      </c>
      <c r="I19" s="501">
        <f>H19-G19</f>
        <v>0</v>
      </c>
      <c r="J19" s="501"/>
      <c r="K19" s="507">
        <f t="shared" si="1"/>
        <v>1260842.7357894429</v>
      </c>
      <c r="L19" s="508">
        <f t="shared" si="2"/>
        <v>0</v>
      </c>
      <c r="M19" s="507">
        <f t="shared" si="3"/>
        <v>1260842.7357894429</v>
      </c>
      <c r="N19" s="505">
        <f t="shared" ref="N19:N73" si="4">IF(M19&lt;&gt;0,+H19-M19,0)</f>
        <v>0</v>
      </c>
      <c r="O19" s="505">
        <f t="shared" ref="O19:O73" si="5">+N19-L19</f>
        <v>0</v>
      </c>
      <c r="P19" s="279"/>
      <c r="R19" s="244"/>
      <c r="S19" s="244"/>
      <c r="T19" s="244"/>
      <c r="U19" s="244"/>
    </row>
    <row r="20" spans="2:21" ht="12.5">
      <c r="B20" s="145" t="str">
        <f t="shared" si="0"/>
        <v>IU</v>
      </c>
      <c r="C20" s="496">
        <f>IF(D11="","-",+C19+1)</f>
        <v>2017</v>
      </c>
      <c r="D20" s="497">
        <v>9719678.8785100412</v>
      </c>
      <c r="E20" s="499">
        <v>200908.03630390498</v>
      </c>
      <c r="F20" s="497">
        <v>9518770.8422061354</v>
      </c>
      <c r="G20" s="499">
        <v>1258445.35153371</v>
      </c>
      <c r="H20" s="500">
        <v>1258445.35153371</v>
      </c>
      <c r="I20" s="501">
        <f t="shared" ref="I20:I73" si="6">H20-G20</f>
        <v>0</v>
      </c>
      <c r="J20" s="501"/>
      <c r="K20" s="507">
        <f t="shared" si="1"/>
        <v>1258445.35153371</v>
      </c>
      <c r="L20" s="508">
        <f t="shared" si="2"/>
        <v>0</v>
      </c>
      <c r="M20" s="507">
        <f t="shared" si="3"/>
        <v>1258445.35153371</v>
      </c>
      <c r="N20" s="505">
        <f>IF(M20&lt;&gt;0,+H20-M20,0)</f>
        <v>0</v>
      </c>
      <c r="O20" s="505">
        <f>+N20-L20</f>
        <v>0</v>
      </c>
      <c r="P20" s="279"/>
      <c r="R20" s="244"/>
      <c r="S20" s="244"/>
      <c r="T20" s="244"/>
      <c r="U20" s="244"/>
    </row>
    <row r="21" spans="2:21" ht="12.5">
      <c r="B21" s="145" t="str">
        <f t="shared" si="0"/>
        <v/>
      </c>
      <c r="C21" s="496">
        <f>IF(D11="","-",+C20+1)</f>
        <v>2018</v>
      </c>
      <c r="D21" s="497">
        <v>9518770.8422061354</v>
      </c>
      <c r="E21" s="499">
        <v>250594.58163414692</v>
      </c>
      <c r="F21" s="497">
        <v>9268176.2605719883</v>
      </c>
      <c r="G21" s="499">
        <v>1205193.6465713971</v>
      </c>
      <c r="H21" s="500">
        <v>1205193.6465713971</v>
      </c>
      <c r="I21" s="501">
        <v>0</v>
      </c>
      <c r="J21" s="501"/>
      <c r="K21" s="507">
        <f t="shared" si="1"/>
        <v>1205193.6465713971</v>
      </c>
      <c r="L21" s="508">
        <f t="shared" si="2"/>
        <v>0</v>
      </c>
      <c r="M21" s="507">
        <f t="shared" si="3"/>
        <v>1205193.6465713971</v>
      </c>
      <c r="N21" s="505">
        <f>IF(M21&lt;&gt;0,+H21-M21,0)</f>
        <v>0</v>
      </c>
      <c r="O21" s="505">
        <f>+N21-L21</f>
        <v>0</v>
      </c>
      <c r="P21" s="279"/>
      <c r="R21" s="244"/>
      <c r="S21" s="244"/>
      <c r="T21" s="244"/>
      <c r="U21" s="244"/>
    </row>
    <row r="22" spans="2:21" ht="12.5">
      <c r="B22" s="145" t="str">
        <f t="shared" si="0"/>
        <v/>
      </c>
      <c r="C22" s="496">
        <f>IF(D11="","-",+C21+1)</f>
        <v>2019</v>
      </c>
      <c r="D22" s="497">
        <v>9268176.2605719883</v>
      </c>
      <c r="E22" s="499">
        <v>303057.00441769959</v>
      </c>
      <c r="F22" s="497">
        <v>8965119.2561542895</v>
      </c>
      <c r="G22" s="499">
        <v>1250604.5823260741</v>
      </c>
      <c r="H22" s="500">
        <v>1250604.5823260741</v>
      </c>
      <c r="I22" s="501">
        <f t="shared" si="6"/>
        <v>0</v>
      </c>
      <c r="J22" s="501"/>
      <c r="K22" s="507">
        <f t="shared" si="1"/>
        <v>1250604.5823260741</v>
      </c>
      <c r="L22" s="508">
        <f t="shared" si="2"/>
        <v>0</v>
      </c>
      <c r="M22" s="507">
        <f t="shared" si="3"/>
        <v>1250604.5823260741</v>
      </c>
      <c r="N22" s="505">
        <f>IF(M22&lt;&gt;0,+H22-M22,0)</f>
        <v>0</v>
      </c>
      <c r="O22" s="505">
        <f>+N22-L22</f>
        <v>0</v>
      </c>
      <c r="P22" s="279"/>
      <c r="R22" s="244"/>
      <c r="S22" s="244"/>
      <c r="T22" s="244"/>
      <c r="U22" s="244"/>
    </row>
    <row r="23" spans="2:21" ht="12.5">
      <c r="B23" s="145" t="str">
        <f t="shared" si="0"/>
        <v/>
      </c>
      <c r="C23" s="496">
        <f>IF(D11="","-",+C22+1)</f>
        <v>2020</v>
      </c>
      <c r="D23" s="509">
        <f>IF(F22+SUM(E$17:E22)=D$10,F22,D$10-SUM(E$17:E22))</f>
        <v>8965119.2561542895</v>
      </c>
      <c r="E23" s="510">
        <f t="shared" ref="E23:E73" si="7">IF(+$I$14&lt;F22,$I$14,D23)</f>
        <v>249221.90243902439</v>
      </c>
      <c r="F23" s="511">
        <f t="shared" ref="F23:F73" si="8">+D23-E23</f>
        <v>8715897.3537152652</v>
      </c>
      <c r="G23" s="512">
        <f t="shared" ref="G23:G73" si="9">(D23+F23)/2*I$12+E23</f>
        <v>1287902.3021515224</v>
      </c>
      <c r="H23" s="478">
        <f t="shared" ref="H23:H73" si="10">+(D23+F23)/2*I$13+E23</f>
        <v>1287902.3021515224</v>
      </c>
      <c r="I23" s="501">
        <f t="shared" si="6"/>
        <v>0</v>
      </c>
      <c r="J23" s="501"/>
      <c r="K23" s="513"/>
      <c r="L23" s="505">
        <f t="shared" ref="L23:L73" si="11">IF(K23&lt;&gt;0,+G23-K23,0)</f>
        <v>0</v>
      </c>
      <c r="M23" s="513"/>
      <c r="N23" s="505">
        <f t="shared" si="4"/>
        <v>0</v>
      </c>
      <c r="O23" s="505">
        <f t="shared" si="5"/>
        <v>0</v>
      </c>
      <c r="P23" s="279"/>
      <c r="R23" s="244"/>
      <c r="S23" s="244"/>
      <c r="T23" s="244"/>
      <c r="U23" s="244"/>
    </row>
    <row r="24" spans="2:21" ht="12.5">
      <c r="B24" s="145" t="str">
        <f t="shared" si="0"/>
        <v/>
      </c>
      <c r="C24" s="496">
        <f>IF(D11="","-",+C23+1)</f>
        <v>2021</v>
      </c>
      <c r="D24" s="509">
        <f>IF(F23+SUM(E$17:E23)=D$10,F23,D$10-SUM(E$17:E23))</f>
        <v>8715897.3537152652</v>
      </c>
      <c r="E24" s="510">
        <f t="shared" si="7"/>
        <v>249221.90243902439</v>
      </c>
      <c r="F24" s="511">
        <f t="shared" si="8"/>
        <v>8466675.4512762409</v>
      </c>
      <c r="G24" s="512">
        <f t="shared" si="9"/>
        <v>1258620.9648897296</v>
      </c>
      <c r="H24" s="478">
        <f t="shared" si="10"/>
        <v>1258620.9648897296</v>
      </c>
      <c r="I24" s="501">
        <f t="shared" si="6"/>
        <v>0</v>
      </c>
      <c r="J24" s="501"/>
      <c r="K24" s="513"/>
      <c r="L24" s="505">
        <f t="shared" si="11"/>
        <v>0</v>
      </c>
      <c r="M24" s="513"/>
      <c r="N24" s="505">
        <f t="shared" si="4"/>
        <v>0</v>
      </c>
      <c r="O24" s="505">
        <f t="shared" si="5"/>
        <v>0</v>
      </c>
      <c r="P24" s="279"/>
      <c r="R24" s="244"/>
      <c r="S24" s="244"/>
      <c r="T24" s="244"/>
      <c r="U24" s="244"/>
    </row>
    <row r="25" spans="2:21" ht="12.5">
      <c r="B25" s="145" t="str">
        <f t="shared" si="0"/>
        <v/>
      </c>
      <c r="C25" s="496">
        <f>IF(D11="","-",+C24+1)</f>
        <v>2022</v>
      </c>
      <c r="D25" s="509">
        <f>IF(F24+SUM(E$17:E24)=D$10,F24,D$10-SUM(E$17:E24))</f>
        <v>8466675.4512762409</v>
      </c>
      <c r="E25" s="510">
        <f t="shared" si="7"/>
        <v>249221.90243902439</v>
      </c>
      <c r="F25" s="511">
        <f t="shared" si="8"/>
        <v>8217453.5488372166</v>
      </c>
      <c r="G25" s="512">
        <f t="shared" si="9"/>
        <v>1229339.6276279369</v>
      </c>
      <c r="H25" s="478">
        <f t="shared" si="10"/>
        <v>1229339.6276279369</v>
      </c>
      <c r="I25" s="501">
        <f t="shared" si="6"/>
        <v>0</v>
      </c>
      <c r="J25" s="501"/>
      <c r="K25" s="513"/>
      <c r="L25" s="505">
        <f t="shared" si="11"/>
        <v>0</v>
      </c>
      <c r="M25" s="513"/>
      <c r="N25" s="505">
        <f t="shared" si="4"/>
        <v>0</v>
      </c>
      <c r="O25" s="505">
        <f t="shared" si="5"/>
        <v>0</v>
      </c>
      <c r="P25" s="279"/>
      <c r="R25" s="244"/>
      <c r="S25" s="244"/>
      <c r="T25" s="244"/>
      <c r="U25" s="244"/>
    </row>
    <row r="26" spans="2:21" ht="12.5">
      <c r="B26" s="145" t="str">
        <f t="shared" si="0"/>
        <v/>
      </c>
      <c r="C26" s="496">
        <f>IF(D11="","-",+C25+1)</f>
        <v>2023</v>
      </c>
      <c r="D26" s="509">
        <f>IF(F25+SUM(E$17:E25)=D$10,F25,D$10-SUM(E$17:E25))</f>
        <v>8217453.5488372166</v>
      </c>
      <c r="E26" s="510">
        <f t="shared" si="7"/>
        <v>249221.90243902439</v>
      </c>
      <c r="F26" s="511">
        <f t="shared" si="8"/>
        <v>7968231.6463981923</v>
      </c>
      <c r="G26" s="512">
        <f t="shared" si="9"/>
        <v>1200058.2903661442</v>
      </c>
      <c r="H26" s="478">
        <f t="shared" si="10"/>
        <v>1200058.2903661442</v>
      </c>
      <c r="I26" s="501">
        <f t="shared" si="6"/>
        <v>0</v>
      </c>
      <c r="J26" s="501"/>
      <c r="K26" s="513"/>
      <c r="L26" s="505">
        <f t="shared" si="11"/>
        <v>0</v>
      </c>
      <c r="M26" s="513"/>
      <c r="N26" s="505">
        <f t="shared" si="4"/>
        <v>0</v>
      </c>
      <c r="O26" s="505">
        <f t="shared" si="5"/>
        <v>0</v>
      </c>
      <c r="P26" s="279"/>
      <c r="R26" s="244"/>
      <c r="S26" s="244"/>
      <c r="T26" s="244"/>
      <c r="U26" s="244"/>
    </row>
    <row r="27" spans="2:21" ht="12.5">
      <c r="B27" s="145" t="str">
        <f t="shared" si="0"/>
        <v/>
      </c>
      <c r="C27" s="496">
        <f>IF(D11="","-",+C26+1)</f>
        <v>2024</v>
      </c>
      <c r="D27" s="509">
        <f>IF(F26+SUM(E$17:E26)=D$10,F26,D$10-SUM(E$17:E26))</f>
        <v>7968231.6463981923</v>
      </c>
      <c r="E27" s="510">
        <f t="shared" si="7"/>
        <v>249221.90243902439</v>
      </c>
      <c r="F27" s="511">
        <f t="shared" si="8"/>
        <v>7719009.743959168</v>
      </c>
      <c r="G27" s="512">
        <f t="shared" si="9"/>
        <v>1170776.9531043514</v>
      </c>
      <c r="H27" s="478">
        <f t="shared" si="10"/>
        <v>1170776.9531043514</v>
      </c>
      <c r="I27" s="501">
        <f t="shared" si="6"/>
        <v>0</v>
      </c>
      <c r="J27" s="501"/>
      <c r="K27" s="513"/>
      <c r="L27" s="505">
        <f t="shared" si="11"/>
        <v>0</v>
      </c>
      <c r="M27" s="513"/>
      <c r="N27" s="505">
        <f t="shared" si="4"/>
        <v>0</v>
      </c>
      <c r="O27" s="505">
        <f t="shared" si="5"/>
        <v>0</v>
      </c>
      <c r="P27" s="279"/>
      <c r="R27" s="244"/>
      <c r="S27" s="244"/>
      <c r="T27" s="244"/>
      <c r="U27" s="244"/>
    </row>
    <row r="28" spans="2:21" ht="12.5">
      <c r="B28" s="145" t="str">
        <f t="shared" si="0"/>
        <v/>
      </c>
      <c r="C28" s="496">
        <f>IF(D11="","-",+C27+1)</f>
        <v>2025</v>
      </c>
      <c r="D28" s="509">
        <f>IF(F27+SUM(E$17:E27)=D$10,F27,D$10-SUM(E$17:E27))</f>
        <v>7719009.743959168</v>
      </c>
      <c r="E28" s="510">
        <f t="shared" si="7"/>
        <v>249221.90243902439</v>
      </c>
      <c r="F28" s="511">
        <f t="shared" si="8"/>
        <v>7469787.8415201437</v>
      </c>
      <c r="G28" s="512">
        <f t="shared" si="9"/>
        <v>1141495.6158425587</v>
      </c>
      <c r="H28" s="478">
        <f t="shared" si="10"/>
        <v>1141495.6158425587</v>
      </c>
      <c r="I28" s="501">
        <f t="shared" si="6"/>
        <v>0</v>
      </c>
      <c r="J28" s="501"/>
      <c r="K28" s="513"/>
      <c r="L28" s="505">
        <f t="shared" si="11"/>
        <v>0</v>
      </c>
      <c r="M28" s="513"/>
      <c r="N28" s="505">
        <f t="shared" si="4"/>
        <v>0</v>
      </c>
      <c r="O28" s="505">
        <f t="shared" si="5"/>
        <v>0</v>
      </c>
      <c r="P28" s="279"/>
      <c r="R28" s="244"/>
      <c r="S28" s="244"/>
      <c r="T28" s="244"/>
      <c r="U28" s="244"/>
    </row>
    <row r="29" spans="2:21" ht="12.5">
      <c r="B29" s="145" t="str">
        <f t="shared" si="0"/>
        <v/>
      </c>
      <c r="C29" s="496">
        <f>IF(D11="","-",+C28+1)</f>
        <v>2026</v>
      </c>
      <c r="D29" s="509">
        <f>IF(F28+SUM(E$17:E28)=D$10,F28,D$10-SUM(E$17:E28))</f>
        <v>7469787.8415201437</v>
      </c>
      <c r="E29" s="510">
        <f t="shared" si="7"/>
        <v>249221.90243902439</v>
      </c>
      <c r="F29" s="511">
        <f t="shared" si="8"/>
        <v>7220565.9390811194</v>
      </c>
      <c r="G29" s="512">
        <f t="shared" si="9"/>
        <v>1112214.2785807659</v>
      </c>
      <c r="H29" s="478">
        <f t="shared" si="10"/>
        <v>1112214.2785807659</v>
      </c>
      <c r="I29" s="501">
        <f t="shared" si="6"/>
        <v>0</v>
      </c>
      <c r="J29" s="501"/>
      <c r="K29" s="513"/>
      <c r="L29" s="505">
        <f t="shared" si="11"/>
        <v>0</v>
      </c>
      <c r="M29" s="513"/>
      <c r="N29" s="505">
        <f t="shared" si="4"/>
        <v>0</v>
      </c>
      <c r="O29" s="505">
        <f t="shared" si="5"/>
        <v>0</v>
      </c>
      <c r="P29" s="279"/>
      <c r="R29" s="244"/>
      <c r="S29" s="244"/>
      <c r="T29" s="244"/>
      <c r="U29" s="244"/>
    </row>
    <row r="30" spans="2:21" ht="12.5">
      <c r="B30" s="145" t="str">
        <f t="shared" si="0"/>
        <v/>
      </c>
      <c r="C30" s="496">
        <f>IF(D11="","-",+C29+1)</f>
        <v>2027</v>
      </c>
      <c r="D30" s="509">
        <f>IF(F29+SUM(E$17:E29)=D$10,F29,D$10-SUM(E$17:E29))</f>
        <v>7220565.9390811194</v>
      </c>
      <c r="E30" s="510">
        <f t="shared" si="7"/>
        <v>249221.90243902439</v>
      </c>
      <c r="F30" s="511">
        <f t="shared" si="8"/>
        <v>6971344.0366420951</v>
      </c>
      <c r="G30" s="512">
        <f t="shared" si="9"/>
        <v>1082932.9413189732</v>
      </c>
      <c r="H30" s="478">
        <f t="shared" si="10"/>
        <v>1082932.9413189732</v>
      </c>
      <c r="I30" s="501">
        <f t="shared" si="6"/>
        <v>0</v>
      </c>
      <c r="J30" s="501"/>
      <c r="K30" s="513"/>
      <c r="L30" s="505">
        <f t="shared" si="11"/>
        <v>0</v>
      </c>
      <c r="M30" s="513"/>
      <c r="N30" s="505">
        <f t="shared" si="4"/>
        <v>0</v>
      </c>
      <c r="O30" s="505">
        <f t="shared" si="5"/>
        <v>0</v>
      </c>
      <c r="P30" s="279"/>
      <c r="R30" s="244"/>
      <c r="S30" s="244"/>
      <c r="T30" s="244"/>
      <c r="U30" s="244"/>
    </row>
    <row r="31" spans="2:21" ht="12.5">
      <c r="B31" s="145" t="str">
        <f t="shared" si="0"/>
        <v/>
      </c>
      <c r="C31" s="496">
        <f>IF(D11="","-",+C30+1)</f>
        <v>2028</v>
      </c>
      <c r="D31" s="509">
        <f>IF(F30+SUM(E$17:E30)=D$10,F30,D$10-SUM(E$17:E30))</f>
        <v>6971344.0366420951</v>
      </c>
      <c r="E31" s="510">
        <f t="shared" si="7"/>
        <v>249221.90243902439</v>
      </c>
      <c r="F31" s="511">
        <f t="shared" si="8"/>
        <v>6722122.1342030708</v>
      </c>
      <c r="G31" s="512">
        <f t="shared" si="9"/>
        <v>1053651.6040571805</v>
      </c>
      <c r="H31" s="478">
        <f t="shared" si="10"/>
        <v>1053651.6040571805</v>
      </c>
      <c r="I31" s="501">
        <f t="shared" si="6"/>
        <v>0</v>
      </c>
      <c r="J31" s="501"/>
      <c r="K31" s="513"/>
      <c r="L31" s="505">
        <f t="shared" si="11"/>
        <v>0</v>
      </c>
      <c r="M31" s="513"/>
      <c r="N31" s="505">
        <f t="shared" si="4"/>
        <v>0</v>
      </c>
      <c r="O31" s="505">
        <f t="shared" si="5"/>
        <v>0</v>
      </c>
      <c r="P31" s="279"/>
      <c r="Q31" s="221"/>
      <c r="R31" s="279"/>
      <c r="S31" s="279"/>
      <c r="T31" s="279"/>
      <c r="U31" s="244"/>
    </row>
    <row r="32" spans="2:21" ht="12.5">
      <c r="B32" s="145" t="str">
        <f t="shared" si="0"/>
        <v/>
      </c>
      <c r="C32" s="496">
        <f>IF(D12="","-",+C31+1)</f>
        <v>2029</v>
      </c>
      <c r="D32" s="509">
        <f>IF(F31+SUM(E$17:E31)=D$10,F31,D$10-SUM(E$17:E31))</f>
        <v>6722122.1342030708</v>
      </c>
      <c r="E32" s="510">
        <f>IF(+$I$14&lt;F31,$I$14,D32)</f>
        <v>249221.90243902439</v>
      </c>
      <c r="F32" s="511">
        <f>+D32-E32</f>
        <v>6472900.2317640465</v>
      </c>
      <c r="G32" s="512">
        <f t="shared" si="9"/>
        <v>1024370.2667953877</v>
      </c>
      <c r="H32" s="478">
        <f t="shared" si="10"/>
        <v>1024370.2667953877</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0"/>
        <v/>
      </c>
      <c r="C33" s="496">
        <f>IF(D13="","-",+C32+1)</f>
        <v>2030</v>
      </c>
      <c r="D33" s="582">
        <f>IF(F32+SUM(E$17:E32)=D$10,F32,D$10-SUM(E$17:E32))</f>
        <v>6472900.2317640465</v>
      </c>
      <c r="E33" s="510">
        <f>IF(+$I$14&lt;F31,$I$14,D33)</f>
        <v>249221.90243902439</v>
      </c>
      <c r="F33" s="511">
        <f t="shared" si="8"/>
        <v>6223678.3293250222</v>
      </c>
      <c r="G33" s="512">
        <f t="shared" si="9"/>
        <v>995088.92953359499</v>
      </c>
      <c r="H33" s="478">
        <f t="shared" si="10"/>
        <v>995088.92953359499</v>
      </c>
      <c r="I33" s="501">
        <f t="shared" si="6"/>
        <v>0</v>
      </c>
      <c r="J33" s="501"/>
      <c r="K33" s="513"/>
      <c r="L33" s="505">
        <f t="shared" si="11"/>
        <v>0</v>
      </c>
      <c r="M33" s="513"/>
      <c r="N33" s="505">
        <f t="shared" si="4"/>
        <v>0</v>
      </c>
      <c r="O33" s="505">
        <f t="shared" si="5"/>
        <v>0</v>
      </c>
      <c r="P33" s="279"/>
      <c r="R33" s="244"/>
      <c r="S33" s="244"/>
      <c r="T33" s="244"/>
      <c r="U33" s="244"/>
    </row>
    <row r="34" spans="2:21" ht="12.5">
      <c r="B34" s="145" t="str">
        <f t="shared" si="0"/>
        <v/>
      </c>
      <c r="C34" s="514">
        <f>IF(D11="","-",+C33+1)</f>
        <v>2031</v>
      </c>
      <c r="D34" s="582">
        <f>IF(F33+SUM(E$17:E33)=D$10,F33,D$10-SUM(E$17:E33))</f>
        <v>6223678.3293250222</v>
      </c>
      <c r="E34" s="516">
        <f t="shared" si="7"/>
        <v>249221.90243902439</v>
      </c>
      <c r="F34" s="517">
        <f t="shared" si="8"/>
        <v>5974456.4268859979</v>
      </c>
      <c r="G34" s="518">
        <f t="shared" si="9"/>
        <v>965807.59227180225</v>
      </c>
      <c r="H34" s="519">
        <f t="shared" si="10"/>
        <v>965807.59227180225</v>
      </c>
      <c r="I34" s="520">
        <f t="shared" si="6"/>
        <v>0</v>
      </c>
      <c r="J34" s="520"/>
      <c r="K34" s="521"/>
      <c r="L34" s="522">
        <f t="shared" si="11"/>
        <v>0</v>
      </c>
      <c r="M34" s="521"/>
      <c r="N34" s="522">
        <f t="shared" si="4"/>
        <v>0</v>
      </c>
      <c r="O34" s="522">
        <f t="shared" si="5"/>
        <v>0</v>
      </c>
      <c r="P34" s="523"/>
      <c r="Q34" s="217"/>
      <c r="R34" s="523"/>
      <c r="S34" s="523"/>
      <c r="T34" s="523"/>
      <c r="U34" s="244"/>
    </row>
    <row r="35" spans="2:21" ht="12.5">
      <c r="B35" s="145" t="str">
        <f t="shared" si="0"/>
        <v/>
      </c>
      <c r="C35" s="496">
        <f>IF(D11="","-",+C34+1)</f>
        <v>2032</v>
      </c>
      <c r="D35" s="509">
        <f>IF(F34+SUM(E$17:E34)=D$10,F34,D$10-SUM(E$17:E34))</f>
        <v>5974456.4268859979</v>
      </c>
      <c r="E35" s="510">
        <f t="shared" si="7"/>
        <v>249221.90243902439</v>
      </c>
      <c r="F35" s="511">
        <f t="shared" si="8"/>
        <v>5725234.5244469736</v>
      </c>
      <c r="G35" s="512">
        <f t="shared" si="9"/>
        <v>936526.25501000951</v>
      </c>
      <c r="H35" s="478">
        <f t="shared" si="10"/>
        <v>936526.25501000951</v>
      </c>
      <c r="I35" s="501">
        <f t="shared" si="6"/>
        <v>0</v>
      </c>
      <c r="J35" s="501"/>
      <c r="K35" s="513"/>
      <c r="L35" s="505">
        <f t="shared" si="11"/>
        <v>0</v>
      </c>
      <c r="M35" s="513"/>
      <c r="N35" s="505">
        <f t="shared" si="4"/>
        <v>0</v>
      </c>
      <c r="O35" s="505">
        <f t="shared" si="5"/>
        <v>0</v>
      </c>
      <c r="P35" s="279"/>
      <c r="R35" s="244"/>
      <c r="S35" s="244"/>
      <c r="T35" s="244"/>
      <c r="U35" s="244"/>
    </row>
    <row r="36" spans="2:21" ht="12.5">
      <c r="B36" s="145" t="str">
        <f t="shared" si="0"/>
        <v/>
      </c>
      <c r="C36" s="496">
        <f>IF(D11="","-",+C35+1)</f>
        <v>2033</v>
      </c>
      <c r="D36" s="509">
        <f>IF(F35+SUM(E$17:E35)=D$10,F35,D$10-SUM(E$17:E35))</f>
        <v>5725234.5244469736</v>
      </c>
      <c r="E36" s="510">
        <f t="shared" si="7"/>
        <v>249221.90243902439</v>
      </c>
      <c r="F36" s="511">
        <f t="shared" si="8"/>
        <v>5476012.6220079493</v>
      </c>
      <c r="G36" s="512">
        <f t="shared" si="9"/>
        <v>907244.91774821677</v>
      </c>
      <c r="H36" s="478">
        <f t="shared" si="10"/>
        <v>907244.91774821677</v>
      </c>
      <c r="I36" s="501">
        <f t="shared" si="6"/>
        <v>0</v>
      </c>
      <c r="J36" s="501"/>
      <c r="K36" s="513"/>
      <c r="L36" s="505">
        <f t="shared" si="11"/>
        <v>0</v>
      </c>
      <c r="M36" s="513"/>
      <c r="N36" s="505">
        <f t="shared" si="4"/>
        <v>0</v>
      </c>
      <c r="O36" s="505">
        <f t="shared" si="5"/>
        <v>0</v>
      </c>
      <c r="P36" s="279"/>
      <c r="R36" s="244"/>
      <c r="S36" s="244"/>
      <c r="T36" s="244"/>
      <c r="U36" s="244"/>
    </row>
    <row r="37" spans="2:21" ht="12.5">
      <c r="B37" s="145" t="str">
        <f t="shared" si="0"/>
        <v/>
      </c>
      <c r="C37" s="496">
        <f>IF(D11="","-",+C36+1)</f>
        <v>2034</v>
      </c>
      <c r="D37" s="509">
        <f>IF(F36+SUM(E$17:E36)=D$10,F36,D$10-SUM(E$17:E36))</f>
        <v>5476012.6220079493</v>
      </c>
      <c r="E37" s="510">
        <f t="shared" si="7"/>
        <v>249221.90243902439</v>
      </c>
      <c r="F37" s="511">
        <f t="shared" si="8"/>
        <v>5226790.719568925</v>
      </c>
      <c r="G37" s="512">
        <f t="shared" si="9"/>
        <v>877963.58048642403</v>
      </c>
      <c r="H37" s="478">
        <f t="shared" si="10"/>
        <v>877963.58048642403</v>
      </c>
      <c r="I37" s="501">
        <f t="shared" si="6"/>
        <v>0</v>
      </c>
      <c r="J37" s="501"/>
      <c r="K37" s="513"/>
      <c r="L37" s="505">
        <f t="shared" si="11"/>
        <v>0</v>
      </c>
      <c r="M37" s="513"/>
      <c r="N37" s="505">
        <f t="shared" si="4"/>
        <v>0</v>
      </c>
      <c r="O37" s="505">
        <f t="shared" si="5"/>
        <v>0</v>
      </c>
      <c r="P37" s="279"/>
      <c r="R37" s="244"/>
      <c r="S37" s="244"/>
      <c r="T37" s="244"/>
      <c r="U37" s="244"/>
    </row>
    <row r="38" spans="2:21" ht="12.5">
      <c r="B38" s="145" t="str">
        <f t="shared" si="0"/>
        <v/>
      </c>
      <c r="C38" s="496">
        <f>IF(D11="","-",+C37+1)</f>
        <v>2035</v>
      </c>
      <c r="D38" s="509">
        <f>IF(F37+SUM(E$17:E37)=D$10,F37,D$10-SUM(E$17:E37))</f>
        <v>5226790.719568925</v>
      </c>
      <c r="E38" s="510">
        <f t="shared" si="7"/>
        <v>249221.90243902439</v>
      </c>
      <c r="F38" s="511">
        <f t="shared" si="8"/>
        <v>4977568.8171299007</v>
      </c>
      <c r="G38" s="512">
        <f t="shared" si="9"/>
        <v>848682.2432246313</v>
      </c>
      <c r="H38" s="478">
        <f t="shared" si="10"/>
        <v>848682.2432246313</v>
      </c>
      <c r="I38" s="501">
        <f t="shared" si="6"/>
        <v>0</v>
      </c>
      <c r="J38" s="501"/>
      <c r="K38" s="513"/>
      <c r="L38" s="505">
        <f t="shared" si="11"/>
        <v>0</v>
      </c>
      <c r="M38" s="513"/>
      <c r="N38" s="505">
        <f t="shared" si="4"/>
        <v>0</v>
      </c>
      <c r="O38" s="505">
        <f t="shared" si="5"/>
        <v>0</v>
      </c>
      <c r="P38" s="279"/>
      <c r="R38" s="244"/>
      <c r="S38" s="244"/>
      <c r="T38" s="244"/>
      <c r="U38" s="244"/>
    </row>
    <row r="39" spans="2:21" ht="12.5">
      <c r="B39" s="145" t="str">
        <f t="shared" si="0"/>
        <v/>
      </c>
      <c r="C39" s="496">
        <f>IF(D11="","-",+C38+1)</f>
        <v>2036</v>
      </c>
      <c r="D39" s="509">
        <f>IF(F38+SUM(E$17:E38)=D$10,F38,D$10-SUM(E$17:E38))</f>
        <v>4977568.8171299007</v>
      </c>
      <c r="E39" s="510">
        <f t="shared" si="7"/>
        <v>249221.90243902439</v>
      </c>
      <c r="F39" s="511">
        <f t="shared" si="8"/>
        <v>4728346.9146908764</v>
      </c>
      <c r="G39" s="512">
        <f t="shared" si="9"/>
        <v>819400.90596283856</v>
      </c>
      <c r="H39" s="478">
        <f t="shared" si="10"/>
        <v>819400.90596283856</v>
      </c>
      <c r="I39" s="501">
        <f t="shared" si="6"/>
        <v>0</v>
      </c>
      <c r="J39" s="501"/>
      <c r="K39" s="513"/>
      <c r="L39" s="505">
        <f t="shared" si="11"/>
        <v>0</v>
      </c>
      <c r="M39" s="513"/>
      <c r="N39" s="505">
        <f t="shared" si="4"/>
        <v>0</v>
      </c>
      <c r="O39" s="505">
        <f t="shared" si="5"/>
        <v>0</v>
      </c>
      <c r="P39" s="279"/>
      <c r="R39" s="244"/>
      <c r="S39" s="244"/>
      <c r="T39" s="244"/>
      <c r="U39" s="244"/>
    </row>
    <row r="40" spans="2:21" ht="12.5">
      <c r="B40" s="145" t="str">
        <f t="shared" si="0"/>
        <v/>
      </c>
      <c r="C40" s="496">
        <f>IF(D11="","-",+C39+1)</f>
        <v>2037</v>
      </c>
      <c r="D40" s="509">
        <f>IF(F39+SUM(E$17:E39)=D$10,F39,D$10-SUM(E$17:E39))</f>
        <v>4728346.9146908764</v>
      </c>
      <c r="E40" s="510">
        <f t="shared" si="7"/>
        <v>249221.90243902439</v>
      </c>
      <c r="F40" s="511">
        <f t="shared" si="8"/>
        <v>4479125.0122518521</v>
      </c>
      <c r="G40" s="512">
        <f t="shared" si="9"/>
        <v>790119.56870104582</v>
      </c>
      <c r="H40" s="478">
        <f t="shared" si="10"/>
        <v>790119.56870104582</v>
      </c>
      <c r="I40" s="501">
        <f t="shared" si="6"/>
        <v>0</v>
      </c>
      <c r="J40" s="501"/>
      <c r="K40" s="513"/>
      <c r="L40" s="505">
        <f t="shared" si="11"/>
        <v>0</v>
      </c>
      <c r="M40" s="513"/>
      <c r="N40" s="505">
        <f t="shared" si="4"/>
        <v>0</v>
      </c>
      <c r="O40" s="505">
        <f t="shared" si="5"/>
        <v>0</v>
      </c>
      <c r="P40" s="279"/>
      <c r="R40" s="244"/>
      <c r="S40" s="244"/>
      <c r="T40" s="244"/>
      <c r="U40" s="244"/>
    </row>
    <row r="41" spans="2:21" ht="12.5">
      <c r="B41" s="145" t="str">
        <f t="shared" si="0"/>
        <v/>
      </c>
      <c r="C41" s="496">
        <f>IF(D12="","-",+C40+1)</f>
        <v>2038</v>
      </c>
      <c r="D41" s="509">
        <f>IF(F40+SUM(E$17:E40)=D$10,F40,D$10-SUM(E$17:E40))</f>
        <v>4479125.0122518521</v>
      </c>
      <c r="E41" s="510">
        <f t="shared" si="7"/>
        <v>249221.90243902439</v>
      </c>
      <c r="F41" s="511">
        <f t="shared" si="8"/>
        <v>4229903.1098128278</v>
      </c>
      <c r="G41" s="512">
        <f t="shared" si="9"/>
        <v>760838.23143925297</v>
      </c>
      <c r="H41" s="478">
        <f t="shared" si="10"/>
        <v>760838.23143925297</v>
      </c>
      <c r="I41" s="501">
        <f t="shared" si="6"/>
        <v>0</v>
      </c>
      <c r="J41" s="501"/>
      <c r="K41" s="513"/>
      <c r="L41" s="505">
        <f t="shared" si="11"/>
        <v>0</v>
      </c>
      <c r="M41" s="513"/>
      <c r="N41" s="505">
        <f t="shared" si="4"/>
        <v>0</v>
      </c>
      <c r="O41" s="505">
        <f t="shared" si="5"/>
        <v>0</v>
      </c>
      <c r="P41" s="279"/>
      <c r="R41" s="244"/>
      <c r="S41" s="244"/>
      <c r="T41" s="244"/>
      <c r="U41" s="244"/>
    </row>
    <row r="42" spans="2:21" ht="12.5">
      <c r="B42" s="145" t="str">
        <f t="shared" si="0"/>
        <v/>
      </c>
      <c r="C42" s="496">
        <f>IF(D13="","-",+C41+1)</f>
        <v>2039</v>
      </c>
      <c r="D42" s="509">
        <f>IF(F41+SUM(E$17:E41)=D$10,F41,D$10-SUM(E$17:E41))</f>
        <v>4229903.1098128278</v>
      </c>
      <c r="E42" s="510">
        <f t="shared" si="7"/>
        <v>249221.90243902439</v>
      </c>
      <c r="F42" s="511">
        <f t="shared" si="8"/>
        <v>3980681.2073738035</v>
      </c>
      <c r="G42" s="512">
        <f t="shared" si="9"/>
        <v>731556.89417746023</v>
      </c>
      <c r="H42" s="478">
        <f t="shared" si="10"/>
        <v>731556.89417746023</v>
      </c>
      <c r="I42" s="501">
        <f t="shared" si="6"/>
        <v>0</v>
      </c>
      <c r="J42" s="501"/>
      <c r="K42" s="513"/>
      <c r="L42" s="505">
        <f t="shared" si="11"/>
        <v>0</v>
      </c>
      <c r="M42" s="513"/>
      <c r="N42" s="505">
        <f t="shared" si="4"/>
        <v>0</v>
      </c>
      <c r="O42" s="505">
        <f t="shared" si="5"/>
        <v>0</v>
      </c>
      <c r="P42" s="279"/>
      <c r="R42" s="244"/>
      <c r="S42" s="244"/>
      <c r="T42" s="244"/>
      <c r="U42" s="244"/>
    </row>
    <row r="43" spans="2:21" ht="12.5">
      <c r="B43" s="145" t="str">
        <f t="shared" si="0"/>
        <v/>
      </c>
      <c r="C43" s="496">
        <f>IF(D11="","-",+C42+1)</f>
        <v>2040</v>
      </c>
      <c r="D43" s="509">
        <f>IF(F42+SUM(E$17:E42)=D$10,F42,D$10-SUM(E$17:E42))</f>
        <v>3980681.2073738035</v>
      </c>
      <c r="E43" s="510">
        <f t="shared" si="7"/>
        <v>249221.90243902439</v>
      </c>
      <c r="F43" s="511">
        <f t="shared" si="8"/>
        <v>3731459.3049347792</v>
      </c>
      <c r="G43" s="512">
        <f t="shared" si="9"/>
        <v>702275.55691566749</v>
      </c>
      <c r="H43" s="478">
        <f t="shared" si="10"/>
        <v>702275.55691566749</v>
      </c>
      <c r="I43" s="501">
        <f t="shared" si="6"/>
        <v>0</v>
      </c>
      <c r="J43" s="501"/>
      <c r="K43" s="513"/>
      <c r="L43" s="505">
        <f t="shared" si="11"/>
        <v>0</v>
      </c>
      <c r="M43" s="513"/>
      <c r="N43" s="505">
        <f t="shared" si="4"/>
        <v>0</v>
      </c>
      <c r="O43" s="505">
        <f t="shared" si="5"/>
        <v>0</v>
      </c>
      <c r="P43" s="279"/>
      <c r="R43" s="244"/>
      <c r="S43" s="244"/>
      <c r="T43" s="244"/>
      <c r="U43" s="244"/>
    </row>
    <row r="44" spans="2:21" ht="12.5">
      <c r="B44" s="145" t="str">
        <f t="shared" si="0"/>
        <v/>
      </c>
      <c r="C44" s="496">
        <f>IF(D11="","-",+C43+1)</f>
        <v>2041</v>
      </c>
      <c r="D44" s="509">
        <f>IF(F43+SUM(E$17:E43)=D$10,F43,D$10-SUM(E$17:E43))</f>
        <v>3731459.3049347792</v>
      </c>
      <c r="E44" s="510">
        <f t="shared" si="7"/>
        <v>249221.90243902439</v>
      </c>
      <c r="F44" s="511">
        <f t="shared" si="8"/>
        <v>3482237.4024957549</v>
      </c>
      <c r="G44" s="512">
        <f t="shared" si="9"/>
        <v>672994.21965387475</v>
      </c>
      <c r="H44" s="478">
        <f t="shared" si="10"/>
        <v>672994.21965387475</v>
      </c>
      <c r="I44" s="501">
        <f t="shared" si="6"/>
        <v>0</v>
      </c>
      <c r="J44" s="501"/>
      <c r="K44" s="513"/>
      <c r="L44" s="505">
        <f t="shared" si="11"/>
        <v>0</v>
      </c>
      <c r="M44" s="513"/>
      <c r="N44" s="505">
        <f t="shared" si="4"/>
        <v>0</v>
      </c>
      <c r="O44" s="505">
        <f t="shared" si="5"/>
        <v>0</v>
      </c>
      <c r="P44" s="279"/>
      <c r="R44" s="244"/>
      <c r="S44" s="244"/>
      <c r="T44" s="244"/>
      <c r="U44" s="244"/>
    </row>
    <row r="45" spans="2:21" ht="12.5">
      <c r="B45" s="145" t="str">
        <f t="shared" si="0"/>
        <v/>
      </c>
      <c r="C45" s="496">
        <f>IF(D11="","-",+C44+1)</f>
        <v>2042</v>
      </c>
      <c r="D45" s="509">
        <f>IF(F44+SUM(E$17:E44)=D$10,F44,D$10-SUM(E$17:E44))</f>
        <v>3482237.4024957549</v>
      </c>
      <c r="E45" s="510">
        <f t="shared" si="7"/>
        <v>249221.90243902439</v>
      </c>
      <c r="F45" s="511">
        <f t="shared" si="8"/>
        <v>3233015.5000567306</v>
      </c>
      <c r="G45" s="512">
        <f t="shared" si="9"/>
        <v>643712.88239208201</v>
      </c>
      <c r="H45" s="478">
        <f t="shared" si="10"/>
        <v>643712.88239208201</v>
      </c>
      <c r="I45" s="501">
        <f t="shared" si="6"/>
        <v>0</v>
      </c>
      <c r="J45" s="501"/>
      <c r="K45" s="513"/>
      <c r="L45" s="505">
        <f t="shared" si="11"/>
        <v>0</v>
      </c>
      <c r="M45" s="513"/>
      <c r="N45" s="505">
        <f t="shared" si="4"/>
        <v>0</v>
      </c>
      <c r="O45" s="505">
        <f t="shared" si="5"/>
        <v>0</v>
      </c>
      <c r="P45" s="279"/>
      <c r="R45" s="244"/>
      <c r="S45" s="244"/>
      <c r="T45" s="244"/>
      <c r="U45" s="244"/>
    </row>
    <row r="46" spans="2:21" ht="12.5">
      <c r="B46" s="145" t="str">
        <f t="shared" si="0"/>
        <v/>
      </c>
      <c r="C46" s="496">
        <f>IF(D11="","-",+C45+1)</f>
        <v>2043</v>
      </c>
      <c r="D46" s="509">
        <f>IF(F45+SUM(E$17:E45)=D$10,F45,D$10-SUM(E$17:E45))</f>
        <v>3233015.5000567306</v>
      </c>
      <c r="E46" s="510">
        <f t="shared" si="7"/>
        <v>249221.90243902439</v>
      </c>
      <c r="F46" s="511">
        <f t="shared" si="8"/>
        <v>2983793.5976177063</v>
      </c>
      <c r="G46" s="512">
        <f t="shared" si="9"/>
        <v>614431.54513028928</v>
      </c>
      <c r="H46" s="478">
        <f t="shared" si="10"/>
        <v>614431.54513028928</v>
      </c>
      <c r="I46" s="501">
        <f t="shared" si="6"/>
        <v>0</v>
      </c>
      <c r="J46" s="501"/>
      <c r="K46" s="513"/>
      <c r="L46" s="505">
        <f t="shared" si="11"/>
        <v>0</v>
      </c>
      <c r="M46" s="513"/>
      <c r="N46" s="505">
        <f t="shared" si="4"/>
        <v>0</v>
      </c>
      <c r="O46" s="505">
        <f t="shared" si="5"/>
        <v>0</v>
      </c>
      <c r="P46" s="279"/>
      <c r="R46" s="244"/>
      <c r="S46" s="244"/>
      <c r="T46" s="244"/>
      <c r="U46" s="244"/>
    </row>
    <row r="47" spans="2:21" ht="12.5">
      <c r="B47" s="145" t="str">
        <f t="shared" si="0"/>
        <v/>
      </c>
      <c r="C47" s="496">
        <f>IF(D11="","-",+C46+1)</f>
        <v>2044</v>
      </c>
      <c r="D47" s="509">
        <f>IF(F46+SUM(E$17:E46)=D$10,F46,D$10-SUM(E$17:E46))</f>
        <v>2983793.5976177063</v>
      </c>
      <c r="E47" s="510">
        <f t="shared" si="7"/>
        <v>249221.90243902439</v>
      </c>
      <c r="F47" s="511">
        <f t="shared" si="8"/>
        <v>2734571.695178682</v>
      </c>
      <c r="G47" s="512">
        <f t="shared" si="9"/>
        <v>585150.20786849642</v>
      </c>
      <c r="H47" s="478">
        <f t="shared" si="10"/>
        <v>585150.20786849642</v>
      </c>
      <c r="I47" s="501">
        <f t="shared" si="6"/>
        <v>0</v>
      </c>
      <c r="J47" s="501"/>
      <c r="K47" s="513"/>
      <c r="L47" s="505">
        <f t="shared" si="11"/>
        <v>0</v>
      </c>
      <c r="M47" s="513"/>
      <c r="N47" s="505">
        <f t="shared" si="4"/>
        <v>0</v>
      </c>
      <c r="O47" s="505">
        <f t="shared" si="5"/>
        <v>0</v>
      </c>
      <c r="P47" s="279"/>
      <c r="R47" s="244"/>
      <c r="S47" s="244"/>
      <c r="T47" s="244"/>
      <c r="U47" s="244"/>
    </row>
    <row r="48" spans="2:21" ht="12.5">
      <c r="B48" s="145" t="str">
        <f t="shared" si="0"/>
        <v/>
      </c>
      <c r="C48" s="496">
        <f>IF(D11="","-",+C47+1)</f>
        <v>2045</v>
      </c>
      <c r="D48" s="509">
        <f>IF(F47+SUM(E$17:E47)=D$10,F47,D$10-SUM(E$17:E47))</f>
        <v>2734571.695178682</v>
      </c>
      <c r="E48" s="510">
        <f t="shared" si="7"/>
        <v>249221.90243902439</v>
      </c>
      <c r="F48" s="511">
        <f t="shared" si="8"/>
        <v>2485349.7927396577</v>
      </c>
      <c r="G48" s="512">
        <f t="shared" si="9"/>
        <v>555868.87060670368</v>
      </c>
      <c r="H48" s="478">
        <f t="shared" si="10"/>
        <v>555868.87060670368</v>
      </c>
      <c r="I48" s="501">
        <f t="shared" si="6"/>
        <v>0</v>
      </c>
      <c r="J48" s="501"/>
      <c r="K48" s="513"/>
      <c r="L48" s="505">
        <f t="shared" si="11"/>
        <v>0</v>
      </c>
      <c r="M48" s="513"/>
      <c r="N48" s="505">
        <f t="shared" si="4"/>
        <v>0</v>
      </c>
      <c r="O48" s="505">
        <f t="shared" si="5"/>
        <v>0</v>
      </c>
      <c r="P48" s="279"/>
      <c r="R48" s="244"/>
      <c r="S48" s="244"/>
      <c r="T48" s="244"/>
      <c r="U48" s="244"/>
    </row>
    <row r="49" spans="2:21" ht="12.5">
      <c r="B49" s="145" t="str">
        <f t="shared" si="0"/>
        <v/>
      </c>
      <c r="C49" s="496">
        <f>IF(D11="","-",+C48+1)</f>
        <v>2046</v>
      </c>
      <c r="D49" s="509">
        <f>IF(F48+SUM(E$17:E48)=D$10,F48,D$10-SUM(E$17:E48))</f>
        <v>2485349.7927396577</v>
      </c>
      <c r="E49" s="510">
        <f t="shared" si="7"/>
        <v>249221.90243902439</v>
      </c>
      <c r="F49" s="511">
        <f t="shared" si="8"/>
        <v>2236127.8903006334</v>
      </c>
      <c r="G49" s="512">
        <f t="shared" si="9"/>
        <v>526587.53334491095</v>
      </c>
      <c r="H49" s="478">
        <f t="shared" si="10"/>
        <v>526587.53334491095</v>
      </c>
      <c r="I49" s="501">
        <f t="shared" si="6"/>
        <v>0</v>
      </c>
      <c r="J49" s="501"/>
      <c r="K49" s="513"/>
      <c r="L49" s="505">
        <f t="shared" si="11"/>
        <v>0</v>
      </c>
      <c r="M49" s="513"/>
      <c r="N49" s="505">
        <f t="shared" si="4"/>
        <v>0</v>
      </c>
      <c r="O49" s="505">
        <f t="shared" si="5"/>
        <v>0</v>
      </c>
      <c r="P49" s="279"/>
      <c r="R49" s="244"/>
      <c r="S49" s="244"/>
      <c r="T49" s="244"/>
      <c r="U49" s="244"/>
    </row>
    <row r="50" spans="2:21" ht="12.5">
      <c r="B50" s="145" t="str">
        <f t="shared" si="0"/>
        <v/>
      </c>
      <c r="C50" s="496">
        <f>IF(D11="","-",+C49+1)</f>
        <v>2047</v>
      </c>
      <c r="D50" s="509">
        <f>IF(F49+SUM(E$17:E49)=D$10,F49,D$10-SUM(E$17:E49))</f>
        <v>2236127.8903006334</v>
      </c>
      <c r="E50" s="510">
        <f t="shared" si="7"/>
        <v>249221.90243902439</v>
      </c>
      <c r="F50" s="511">
        <f t="shared" si="8"/>
        <v>1986905.9878616091</v>
      </c>
      <c r="G50" s="512">
        <f t="shared" si="9"/>
        <v>497306.19608311821</v>
      </c>
      <c r="H50" s="478">
        <f t="shared" si="10"/>
        <v>497306.19608311821</v>
      </c>
      <c r="I50" s="501">
        <f t="shared" si="6"/>
        <v>0</v>
      </c>
      <c r="J50" s="501"/>
      <c r="K50" s="513"/>
      <c r="L50" s="505">
        <f t="shared" si="11"/>
        <v>0</v>
      </c>
      <c r="M50" s="513"/>
      <c r="N50" s="505">
        <f t="shared" si="4"/>
        <v>0</v>
      </c>
      <c r="O50" s="505">
        <f t="shared" si="5"/>
        <v>0</v>
      </c>
      <c r="P50" s="279"/>
      <c r="R50" s="244"/>
      <c r="S50" s="244"/>
      <c r="T50" s="244"/>
      <c r="U50" s="244"/>
    </row>
    <row r="51" spans="2:21" ht="12.5">
      <c r="B51" s="145" t="str">
        <f t="shared" si="0"/>
        <v/>
      </c>
      <c r="C51" s="496">
        <f>IF(D11="","-",+C50+1)</f>
        <v>2048</v>
      </c>
      <c r="D51" s="509">
        <f>IF(F50+SUM(E$17:E50)=D$10,F50,D$10-SUM(E$17:E50))</f>
        <v>1986905.9878616091</v>
      </c>
      <c r="E51" s="510">
        <f t="shared" si="7"/>
        <v>249221.90243902439</v>
      </c>
      <c r="F51" s="511">
        <f t="shared" si="8"/>
        <v>1737684.0854225848</v>
      </c>
      <c r="G51" s="512">
        <f t="shared" si="9"/>
        <v>468024.85882132547</v>
      </c>
      <c r="H51" s="478">
        <f t="shared" si="10"/>
        <v>468024.85882132547</v>
      </c>
      <c r="I51" s="501">
        <f t="shared" si="6"/>
        <v>0</v>
      </c>
      <c r="J51" s="501"/>
      <c r="K51" s="513"/>
      <c r="L51" s="505">
        <f t="shared" si="11"/>
        <v>0</v>
      </c>
      <c r="M51" s="513"/>
      <c r="N51" s="505">
        <f t="shared" si="4"/>
        <v>0</v>
      </c>
      <c r="O51" s="505">
        <f t="shared" si="5"/>
        <v>0</v>
      </c>
      <c r="P51" s="279"/>
      <c r="R51" s="244"/>
      <c r="S51" s="244"/>
      <c r="T51" s="244"/>
      <c r="U51" s="244"/>
    </row>
    <row r="52" spans="2:21" ht="12.5">
      <c r="B52" s="145" t="str">
        <f t="shared" si="0"/>
        <v/>
      </c>
      <c r="C52" s="496">
        <f>IF(D11="","-",+C51+1)</f>
        <v>2049</v>
      </c>
      <c r="D52" s="509">
        <f>IF(F51+SUM(E$17:E51)=D$10,F51,D$10-SUM(E$17:E51))</f>
        <v>1737684.0854225848</v>
      </c>
      <c r="E52" s="510">
        <f t="shared" si="7"/>
        <v>249221.90243902439</v>
      </c>
      <c r="F52" s="511">
        <f t="shared" si="8"/>
        <v>1488462.1829835605</v>
      </c>
      <c r="G52" s="512">
        <f t="shared" si="9"/>
        <v>438743.52155953273</v>
      </c>
      <c r="H52" s="478">
        <f t="shared" si="10"/>
        <v>438743.52155953273</v>
      </c>
      <c r="I52" s="501">
        <f t="shared" si="6"/>
        <v>0</v>
      </c>
      <c r="J52" s="501"/>
      <c r="K52" s="513"/>
      <c r="L52" s="505">
        <f t="shared" si="11"/>
        <v>0</v>
      </c>
      <c r="M52" s="513"/>
      <c r="N52" s="505">
        <f t="shared" si="4"/>
        <v>0</v>
      </c>
      <c r="O52" s="505">
        <f t="shared" si="5"/>
        <v>0</v>
      </c>
      <c r="P52" s="279"/>
      <c r="R52" s="244"/>
      <c r="S52" s="244"/>
      <c r="T52" s="244"/>
      <c r="U52" s="244"/>
    </row>
    <row r="53" spans="2:21" ht="12.5">
      <c r="B53" s="145" t="str">
        <f t="shared" si="0"/>
        <v/>
      </c>
      <c r="C53" s="496">
        <f>IF(D11="","-",+C52+1)</f>
        <v>2050</v>
      </c>
      <c r="D53" s="509">
        <f>IF(F52+SUM(E$17:E52)=D$10,F52,D$10-SUM(E$17:E52))</f>
        <v>1488462.1829835605</v>
      </c>
      <c r="E53" s="510">
        <f t="shared" si="7"/>
        <v>249221.90243902439</v>
      </c>
      <c r="F53" s="511">
        <f t="shared" si="8"/>
        <v>1239240.2805445362</v>
      </c>
      <c r="G53" s="512">
        <f t="shared" si="9"/>
        <v>409462.18429773999</v>
      </c>
      <c r="H53" s="478">
        <f t="shared" si="10"/>
        <v>409462.18429773999</v>
      </c>
      <c r="I53" s="501">
        <f t="shared" si="6"/>
        <v>0</v>
      </c>
      <c r="J53" s="501"/>
      <c r="K53" s="513"/>
      <c r="L53" s="505">
        <f t="shared" si="11"/>
        <v>0</v>
      </c>
      <c r="M53" s="513"/>
      <c r="N53" s="505">
        <f t="shared" si="4"/>
        <v>0</v>
      </c>
      <c r="O53" s="505">
        <f t="shared" si="5"/>
        <v>0</v>
      </c>
      <c r="P53" s="279"/>
      <c r="R53" s="244"/>
      <c r="S53" s="244"/>
      <c r="T53" s="244"/>
      <c r="U53" s="244"/>
    </row>
    <row r="54" spans="2:21" ht="12.5">
      <c r="B54" s="145" t="str">
        <f t="shared" si="0"/>
        <v/>
      </c>
      <c r="C54" s="496">
        <f>IF(D11="","-",+C53+1)</f>
        <v>2051</v>
      </c>
      <c r="D54" s="509">
        <f>IF(F53+SUM(E$17:E53)=D$10,F53,D$10-SUM(E$17:E53))</f>
        <v>1239240.2805445362</v>
      </c>
      <c r="E54" s="510">
        <f t="shared" si="7"/>
        <v>249221.90243902439</v>
      </c>
      <c r="F54" s="511">
        <f t="shared" si="8"/>
        <v>990018.37810551177</v>
      </c>
      <c r="G54" s="512">
        <f t="shared" si="9"/>
        <v>380180.8470359472</v>
      </c>
      <c r="H54" s="478">
        <f t="shared" si="10"/>
        <v>380180.8470359472</v>
      </c>
      <c r="I54" s="501">
        <f t="shared" si="6"/>
        <v>0</v>
      </c>
      <c r="J54" s="501"/>
      <c r="K54" s="513"/>
      <c r="L54" s="505">
        <f t="shared" si="11"/>
        <v>0</v>
      </c>
      <c r="M54" s="513"/>
      <c r="N54" s="505">
        <f t="shared" si="4"/>
        <v>0</v>
      </c>
      <c r="O54" s="505">
        <f t="shared" si="5"/>
        <v>0</v>
      </c>
      <c r="P54" s="279"/>
      <c r="R54" s="244"/>
      <c r="S54" s="244"/>
      <c r="T54" s="244"/>
      <c r="U54" s="244"/>
    </row>
    <row r="55" spans="2:21" ht="12.5">
      <c r="B55" s="145" t="str">
        <f t="shared" si="0"/>
        <v/>
      </c>
      <c r="C55" s="496">
        <f>IF(D11="","-",+C54+1)</f>
        <v>2052</v>
      </c>
      <c r="D55" s="509">
        <f>IF(F54+SUM(E$17:E54)=D$10,F54,D$10-SUM(E$17:E54))</f>
        <v>990018.37810551177</v>
      </c>
      <c r="E55" s="510">
        <f t="shared" si="7"/>
        <v>249221.90243902439</v>
      </c>
      <c r="F55" s="511">
        <f t="shared" si="8"/>
        <v>740796.47566648736</v>
      </c>
      <c r="G55" s="512">
        <f t="shared" si="9"/>
        <v>350899.50977415446</v>
      </c>
      <c r="H55" s="478">
        <f t="shared" si="10"/>
        <v>350899.50977415446</v>
      </c>
      <c r="I55" s="501">
        <f t="shared" si="6"/>
        <v>0</v>
      </c>
      <c r="J55" s="501"/>
      <c r="K55" s="513"/>
      <c r="L55" s="505">
        <f t="shared" si="11"/>
        <v>0</v>
      </c>
      <c r="M55" s="513"/>
      <c r="N55" s="505">
        <f t="shared" si="4"/>
        <v>0</v>
      </c>
      <c r="O55" s="505">
        <f t="shared" si="5"/>
        <v>0</v>
      </c>
      <c r="P55" s="279"/>
      <c r="R55" s="244"/>
      <c r="S55" s="244"/>
      <c r="T55" s="244"/>
      <c r="U55" s="244"/>
    </row>
    <row r="56" spans="2:21" ht="12.5">
      <c r="B56" s="145" t="str">
        <f t="shared" si="0"/>
        <v/>
      </c>
      <c r="C56" s="496">
        <f>IF(D11="","-",+C55+1)</f>
        <v>2053</v>
      </c>
      <c r="D56" s="509">
        <f>IF(F55+SUM(E$17:E55)=D$10,F55,D$10-SUM(E$17:E55))</f>
        <v>740796.47566648736</v>
      </c>
      <c r="E56" s="510">
        <f t="shared" si="7"/>
        <v>249221.90243902439</v>
      </c>
      <c r="F56" s="511">
        <f t="shared" si="8"/>
        <v>491574.57322746294</v>
      </c>
      <c r="G56" s="512">
        <f t="shared" si="9"/>
        <v>321618.17251236166</v>
      </c>
      <c r="H56" s="478">
        <f t="shared" si="10"/>
        <v>321618.17251236166</v>
      </c>
      <c r="I56" s="501">
        <f t="shared" si="6"/>
        <v>0</v>
      </c>
      <c r="J56" s="501"/>
      <c r="K56" s="513"/>
      <c r="L56" s="505">
        <f t="shared" si="11"/>
        <v>0</v>
      </c>
      <c r="M56" s="513"/>
      <c r="N56" s="505">
        <f t="shared" si="4"/>
        <v>0</v>
      </c>
      <c r="O56" s="505">
        <f t="shared" si="5"/>
        <v>0</v>
      </c>
      <c r="P56" s="279"/>
      <c r="R56" s="244"/>
      <c r="S56" s="244"/>
      <c r="T56" s="244"/>
      <c r="U56" s="244"/>
    </row>
    <row r="57" spans="2:21" ht="12.5">
      <c r="B57" s="145" t="str">
        <f t="shared" si="0"/>
        <v/>
      </c>
      <c r="C57" s="496">
        <f>IF(D11="","-",+C56+1)</f>
        <v>2054</v>
      </c>
      <c r="D57" s="509">
        <f>IF(F56+SUM(E$17:E56)=D$10,F56,D$10-SUM(E$17:E56))</f>
        <v>491574.57322746294</v>
      </c>
      <c r="E57" s="510">
        <f t="shared" si="7"/>
        <v>249221.90243902439</v>
      </c>
      <c r="F57" s="511">
        <f t="shared" si="8"/>
        <v>242352.67078843855</v>
      </c>
      <c r="G57" s="512">
        <f t="shared" si="9"/>
        <v>292336.83525056893</v>
      </c>
      <c r="H57" s="478">
        <f t="shared" si="10"/>
        <v>292336.83525056893</v>
      </c>
      <c r="I57" s="501">
        <f t="shared" si="6"/>
        <v>0</v>
      </c>
      <c r="J57" s="501"/>
      <c r="K57" s="513"/>
      <c r="L57" s="505">
        <f t="shared" si="11"/>
        <v>0</v>
      </c>
      <c r="M57" s="513"/>
      <c r="N57" s="505">
        <f t="shared" si="4"/>
        <v>0</v>
      </c>
      <c r="O57" s="505">
        <f t="shared" si="5"/>
        <v>0</v>
      </c>
      <c r="P57" s="279"/>
      <c r="R57" s="244"/>
      <c r="S57" s="244"/>
      <c r="T57" s="244"/>
      <c r="U57" s="244"/>
    </row>
    <row r="58" spans="2:21" ht="12.5">
      <c r="B58" s="145" t="str">
        <f t="shared" si="0"/>
        <v/>
      </c>
      <c r="C58" s="496">
        <f>IF(D11="","-",+C57+1)</f>
        <v>2055</v>
      </c>
      <c r="D58" s="509">
        <f>IF(F57+SUM(E$17:E57)=D$10,F57,D$10-SUM(E$17:E57))</f>
        <v>242352.67078843855</v>
      </c>
      <c r="E58" s="510">
        <f t="shared" si="7"/>
        <v>242352.67078843855</v>
      </c>
      <c r="F58" s="511">
        <f t="shared" si="8"/>
        <v>0</v>
      </c>
      <c r="G58" s="512">
        <f t="shared" si="9"/>
        <v>256589.80287876262</v>
      </c>
      <c r="H58" s="478">
        <f t="shared" si="10"/>
        <v>256589.80287876262</v>
      </c>
      <c r="I58" s="501">
        <f t="shared" si="6"/>
        <v>0</v>
      </c>
      <c r="J58" s="501"/>
      <c r="K58" s="513"/>
      <c r="L58" s="505">
        <f t="shared" si="11"/>
        <v>0</v>
      </c>
      <c r="M58" s="513"/>
      <c r="N58" s="505">
        <f t="shared" si="4"/>
        <v>0</v>
      </c>
      <c r="O58" s="505">
        <f t="shared" si="5"/>
        <v>0</v>
      </c>
      <c r="P58" s="279"/>
      <c r="R58" s="244"/>
      <c r="S58" s="244"/>
      <c r="T58" s="244"/>
      <c r="U58" s="244"/>
    </row>
    <row r="59" spans="2:21" ht="12.5">
      <c r="B59" s="145" t="str">
        <f t="shared" si="0"/>
        <v/>
      </c>
      <c r="C59" s="496">
        <f>IF(D11="","-",+C58+1)</f>
        <v>2056</v>
      </c>
      <c r="D59" s="509">
        <f>IF(F58+SUM(E$17:E58)=D$10,F58,D$10-SUM(E$17:E58))</f>
        <v>0</v>
      </c>
      <c r="E59" s="510">
        <f t="shared" si="7"/>
        <v>0</v>
      </c>
      <c r="F59" s="511">
        <f t="shared" si="8"/>
        <v>0</v>
      </c>
      <c r="G59" s="512">
        <f t="shared" si="9"/>
        <v>0</v>
      </c>
      <c r="H59" s="478">
        <f t="shared" si="10"/>
        <v>0</v>
      </c>
      <c r="I59" s="501">
        <f t="shared" si="6"/>
        <v>0</v>
      </c>
      <c r="J59" s="501"/>
      <c r="K59" s="513"/>
      <c r="L59" s="505">
        <f t="shared" si="11"/>
        <v>0</v>
      </c>
      <c r="M59" s="513"/>
      <c r="N59" s="505">
        <f t="shared" si="4"/>
        <v>0</v>
      </c>
      <c r="O59" s="505">
        <f t="shared" si="5"/>
        <v>0</v>
      </c>
      <c r="P59" s="279"/>
      <c r="R59" s="244"/>
      <c r="S59" s="244"/>
      <c r="T59" s="244"/>
      <c r="U59" s="244"/>
    </row>
    <row r="60" spans="2:21" ht="12.5">
      <c r="B60" s="145" t="str">
        <f t="shared" si="0"/>
        <v/>
      </c>
      <c r="C60" s="496">
        <f>IF(D11="","-",+C59+1)</f>
        <v>2057</v>
      </c>
      <c r="D60" s="509">
        <f>IF(F59+SUM(E$17:E59)=D$10,F59,D$10-SUM(E$17:E59))</f>
        <v>0</v>
      </c>
      <c r="E60" s="510">
        <f t="shared" si="7"/>
        <v>0</v>
      </c>
      <c r="F60" s="511">
        <f t="shared" si="8"/>
        <v>0</v>
      </c>
      <c r="G60" s="512">
        <f t="shared" si="9"/>
        <v>0</v>
      </c>
      <c r="H60" s="478">
        <f t="shared" si="10"/>
        <v>0</v>
      </c>
      <c r="I60" s="501">
        <f t="shared" si="6"/>
        <v>0</v>
      </c>
      <c r="J60" s="501"/>
      <c r="K60" s="513"/>
      <c r="L60" s="505">
        <f t="shared" si="11"/>
        <v>0</v>
      </c>
      <c r="M60" s="513"/>
      <c r="N60" s="505">
        <f t="shared" si="4"/>
        <v>0</v>
      </c>
      <c r="O60" s="505">
        <f t="shared" si="5"/>
        <v>0</v>
      </c>
      <c r="P60" s="279"/>
      <c r="R60" s="244"/>
      <c r="S60" s="244"/>
      <c r="T60" s="244"/>
      <c r="U60" s="244"/>
    </row>
    <row r="61" spans="2:21" ht="12.5">
      <c r="B61" s="145" t="str">
        <f t="shared" si="0"/>
        <v/>
      </c>
      <c r="C61" s="496">
        <f>IF(D11="","-",+C60+1)</f>
        <v>2058</v>
      </c>
      <c r="D61" s="509">
        <f>IF(F60+SUM(E$17:E60)=D$10,F60,D$10-SUM(E$17:E60))</f>
        <v>0</v>
      </c>
      <c r="E61" s="510">
        <f t="shared" si="7"/>
        <v>0</v>
      </c>
      <c r="F61" s="511">
        <f t="shared" si="8"/>
        <v>0</v>
      </c>
      <c r="G61" s="512">
        <f t="shared" si="9"/>
        <v>0</v>
      </c>
      <c r="H61" s="478">
        <f t="shared" si="10"/>
        <v>0</v>
      </c>
      <c r="I61" s="501">
        <f t="shared" si="6"/>
        <v>0</v>
      </c>
      <c r="J61" s="501"/>
      <c r="K61" s="513"/>
      <c r="L61" s="505">
        <f t="shared" si="11"/>
        <v>0</v>
      </c>
      <c r="M61" s="513"/>
      <c r="N61" s="505">
        <f t="shared" si="4"/>
        <v>0</v>
      </c>
      <c r="O61" s="505">
        <f t="shared" si="5"/>
        <v>0</v>
      </c>
      <c r="P61" s="279"/>
      <c r="R61" s="244"/>
      <c r="S61" s="244"/>
      <c r="T61" s="244"/>
      <c r="U61" s="244"/>
    </row>
    <row r="62" spans="2:21" ht="12.5">
      <c r="B62" s="145" t="str">
        <f t="shared" si="0"/>
        <v/>
      </c>
      <c r="C62" s="496">
        <f>IF(D11="","-",+C61+1)</f>
        <v>2059</v>
      </c>
      <c r="D62" s="509">
        <f>IF(F61+SUM(E$17:E61)=D$10,F61,D$10-SUM(E$17:E61))</f>
        <v>0</v>
      </c>
      <c r="E62" s="510">
        <f t="shared" si="7"/>
        <v>0</v>
      </c>
      <c r="F62" s="511">
        <f t="shared" si="8"/>
        <v>0</v>
      </c>
      <c r="G62" s="512">
        <f t="shared" si="9"/>
        <v>0</v>
      </c>
      <c r="H62" s="478">
        <f t="shared" si="10"/>
        <v>0</v>
      </c>
      <c r="I62" s="501">
        <f t="shared" si="6"/>
        <v>0</v>
      </c>
      <c r="J62" s="501"/>
      <c r="K62" s="513"/>
      <c r="L62" s="505">
        <f t="shared" si="11"/>
        <v>0</v>
      </c>
      <c r="M62" s="513"/>
      <c r="N62" s="505">
        <f t="shared" si="4"/>
        <v>0</v>
      </c>
      <c r="O62" s="505">
        <f t="shared" si="5"/>
        <v>0</v>
      </c>
      <c r="P62" s="279"/>
      <c r="R62" s="244"/>
      <c r="S62" s="244"/>
      <c r="T62" s="244"/>
      <c r="U62" s="244"/>
    </row>
    <row r="63" spans="2:21" ht="12.5">
      <c r="B63" s="145" t="str">
        <f t="shared" si="0"/>
        <v/>
      </c>
      <c r="C63" s="496">
        <f>IF(D11="","-",+C62+1)</f>
        <v>2060</v>
      </c>
      <c r="D63" s="509">
        <f>IF(F62+SUM(E$17:E62)=D$10,F62,D$10-SUM(E$17:E62))</f>
        <v>0</v>
      </c>
      <c r="E63" s="510">
        <f t="shared" si="7"/>
        <v>0</v>
      </c>
      <c r="F63" s="511">
        <f t="shared" si="8"/>
        <v>0</v>
      </c>
      <c r="G63" s="512">
        <f t="shared" si="9"/>
        <v>0</v>
      </c>
      <c r="H63" s="478">
        <f t="shared" si="10"/>
        <v>0</v>
      </c>
      <c r="I63" s="501">
        <f t="shared" si="6"/>
        <v>0</v>
      </c>
      <c r="J63" s="501"/>
      <c r="K63" s="513"/>
      <c r="L63" s="505">
        <f t="shared" si="11"/>
        <v>0</v>
      </c>
      <c r="M63" s="513"/>
      <c r="N63" s="505">
        <f t="shared" si="4"/>
        <v>0</v>
      </c>
      <c r="O63" s="505">
        <f t="shared" si="5"/>
        <v>0</v>
      </c>
      <c r="P63" s="279"/>
      <c r="R63" s="244"/>
      <c r="S63" s="244"/>
      <c r="T63" s="244"/>
      <c r="U63" s="244"/>
    </row>
    <row r="64" spans="2:21" ht="12.5">
      <c r="B64" s="145" t="str">
        <f t="shared" si="0"/>
        <v/>
      </c>
      <c r="C64" s="496">
        <f>IF(D11="","-",+C63+1)</f>
        <v>2061</v>
      </c>
      <c r="D64" s="509">
        <f>IF(F63+SUM(E$17:E63)=D$10,F63,D$10-SUM(E$17:E63))</f>
        <v>0</v>
      </c>
      <c r="E64" s="510">
        <f t="shared" si="7"/>
        <v>0</v>
      </c>
      <c r="F64" s="511">
        <f t="shared" si="8"/>
        <v>0</v>
      </c>
      <c r="G64" s="512">
        <f t="shared" si="9"/>
        <v>0</v>
      </c>
      <c r="H64" s="478">
        <f t="shared" si="10"/>
        <v>0</v>
      </c>
      <c r="I64" s="501">
        <f t="shared" si="6"/>
        <v>0</v>
      </c>
      <c r="J64" s="501"/>
      <c r="K64" s="513"/>
      <c r="L64" s="505">
        <f t="shared" si="11"/>
        <v>0</v>
      </c>
      <c r="M64" s="513"/>
      <c r="N64" s="505">
        <f t="shared" si="4"/>
        <v>0</v>
      </c>
      <c r="O64" s="505">
        <f t="shared" si="5"/>
        <v>0</v>
      </c>
      <c r="P64" s="279"/>
      <c r="R64" s="244"/>
      <c r="S64" s="244"/>
      <c r="T64" s="244"/>
      <c r="U64" s="244"/>
    </row>
    <row r="65" spans="2:21" ht="12.5">
      <c r="B65" s="145" t="str">
        <f t="shared" si="0"/>
        <v/>
      </c>
      <c r="C65" s="496">
        <f>IF(D11="","-",+C64+1)</f>
        <v>2062</v>
      </c>
      <c r="D65" s="509">
        <f>IF(F64+SUM(E$17:E64)=D$10,F64,D$10-SUM(E$17:E64))</f>
        <v>0</v>
      </c>
      <c r="E65" s="510">
        <f t="shared" si="7"/>
        <v>0</v>
      </c>
      <c r="F65" s="511">
        <f t="shared" si="8"/>
        <v>0</v>
      </c>
      <c r="G65" s="512">
        <f t="shared" si="9"/>
        <v>0</v>
      </c>
      <c r="H65" s="478">
        <f t="shared" si="10"/>
        <v>0</v>
      </c>
      <c r="I65" s="501">
        <f t="shared" si="6"/>
        <v>0</v>
      </c>
      <c r="J65" s="501"/>
      <c r="K65" s="513"/>
      <c r="L65" s="505">
        <f t="shared" si="11"/>
        <v>0</v>
      </c>
      <c r="M65" s="513"/>
      <c r="N65" s="505">
        <f t="shared" si="4"/>
        <v>0</v>
      </c>
      <c r="O65" s="505">
        <f t="shared" si="5"/>
        <v>0</v>
      </c>
      <c r="P65" s="279"/>
      <c r="R65" s="244"/>
      <c r="S65" s="244"/>
      <c r="T65" s="244"/>
      <c r="U65" s="244"/>
    </row>
    <row r="66" spans="2:21" ht="12.5">
      <c r="B66" s="145" t="str">
        <f t="shared" si="0"/>
        <v/>
      </c>
      <c r="C66" s="496">
        <f>IF(D11="","-",+C65+1)</f>
        <v>2063</v>
      </c>
      <c r="D66" s="509">
        <f>IF(F65+SUM(E$17:E65)=D$10,F65,D$10-SUM(E$17:E65))</f>
        <v>0</v>
      </c>
      <c r="E66" s="510">
        <f t="shared" si="7"/>
        <v>0</v>
      </c>
      <c r="F66" s="511">
        <f t="shared" si="8"/>
        <v>0</v>
      </c>
      <c r="G66" s="512">
        <f t="shared" si="9"/>
        <v>0</v>
      </c>
      <c r="H66" s="478">
        <f t="shared" si="10"/>
        <v>0</v>
      </c>
      <c r="I66" s="501">
        <f t="shared" si="6"/>
        <v>0</v>
      </c>
      <c r="J66" s="501"/>
      <c r="K66" s="513"/>
      <c r="L66" s="505">
        <f t="shared" si="11"/>
        <v>0</v>
      </c>
      <c r="M66" s="513"/>
      <c r="N66" s="505">
        <f t="shared" si="4"/>
        <v>0</v>
      </c>
      <c r="O66" s="505">
        <f t="shared" si="5"/>
        <v>0</v>
      </c>
      <c r="P66" s="279"/>
      <c r="R66" s="244"/>
      <c r="S66" s="244"/>
      <c r="T66" s="244"/>
      <c r="U66" s="244"/>
    </row>
    <row r="67" spans="2:21" ht="12.5">
      <c r="B67" s="145" t="str">
        <f t="shared" si="0"/>
        <v/>
      </c>
      <c r="C67" s="496">
        <f>IF(D11="","-",+C66+1)</f>
        <v>2064</v>
      </c>
      <c r="D67" s="509">
        <f>IF(F66+SUM(E$17:E66)=D$10,F66,D$10-SUM(E$17:E66))</f>
        <v>0</v>
      </c>
      <c r="E67" s="510">
        <f t="shared" si="7"/>
        <v>0</v>
      </c>
      <c r="F67" s="511">
        <f t="shared" si="8"/>
        <v>0</v>
      </c>
      <c r="G67" s="512">
        <f t="shared" si="9"/>
        <v>0</v>
      </c>
      <c r="H67" s="478">
        <f t="shared" si="10"/>
        <v>0</v>
      </c>
      <c r="I67" s="501">
        <f t="shared" si="6"/>
        <v>0</v>
      </c>
      <c r="J67" s="501"/>
      <c r="K67" s="513"/>
      <c r="L67" s="505">
        <f t="shared" si="11"/>
        <v>0</v>
      </c>
      <c r="M67" s="513"/>
      <c r="N67" s="505">
        <f t="shared" si="4"/>
        <v>0</v>
      </c>
      <c r="O67" s="505">
        <f t="shared" si="5"/>
        <v>0</v>
      </c>
      <c r="P67" s="279"/>
      <c r="R67" s="244"/>
      <c r="S67" s="244"/>
      <c r="T67" s="244"/>
      <c r="U67" s="244"/>
    </row>
    <row r="68" spans="2:21" ht="12.5">
      <c r="B68" s="145" t="str">
        <f t="shared" si="0"/>
        <v/>
      </c>
      <c r="C68" s="496">
        <f>IF(D11="","-",+C67+1)</f>
        <v>2065</v>
      </c>
      <c r="D68" s="509">
        <f>IF(F67+SUM(E$17:E67)=D$10,F67,D$10-SUM(E$17:E67))</f>
        <v>0</v>
      </c>
      <c r="E68" s="510">
        <f t="shared" si="7"/>
        <v>0</v>
      </c>
      <c r="F68" s="511">
        <f t="shared" si="8"/>
        <v>0</v>
      </c>
      <c r="G68" s="512">
        <f t="shared" si="9"/>
        <v>0</v>
      </c>
      <c r="H68" s="478">
        <f t="shared" si="10"/>
        <v>0</v>
      </c>
      <c r="I68" s="501">
        <f t="shared" si="6"/>
        <v>0</v>
      </c>
      <c r="J68" s="501"/>
      <c r="K68" s="513"/>
      <c r="L68" s="505">
        <f t="shared" si="11"/>
        <v>0</v>
      </c>
      <c r="M68" s="513"/>
      <c r="N68" s="505">
        <f t="shared" si="4"/>
        <v>0</v>
      </c>
      <c r="O68" s="505">
        <f t="shared" si="5"/>
        <v>0</v>
      </c>
      <c r="P68" s="279"/>
      <c r="R68" s="244"/>
      <c r="S68" s="244"/>
      <c r="T68" s="244"/>
      <c r="U68" s="244"/>
    </row>
    <row r="69" spans="2:21" ht="12.5">
      <c r="B69" s="145" t="str">
        <f t="shared" si="0"/>
        <v/>
      </c>
      <c r="C69" s="496">
        <f>IF(D11="","-",+C68+1)</f>
        <v>2066</v>
      </c>
      <c r="D69" s="509">
        <f>IF(F68+SUM(E$17:E68)=D$10,F68,D$10-SUM(E$17:E68))</f>
        <v>0</v>
      </c>
      <c r="E69" s="510">
        <f t="shared" si="7"/>
        <v>0</v>
      </c>
      <c r="F69" s="511">
        <f t="shared" si="8"/>
        <v>0</v>
      </c>
      <c r="G69" s="512">
        <f t="shared" si="9"/>
        <v>0</v>
      </c>
      <c r="H69" s="478">
        <f t="shared" si="10"/>
        <v>0</v>
      </c>
      <c r="I69" s="501">
        <f t="shared" si="6"/>
        <v>0</v>
      </c>
      <c r="J69" s="501"/>
      <c r="K69" s="513"/>
      <c r="L69" s="505">
        <f t="shared" si="11"/>
        <v>0</v>
      </c>
      <c r="M69" s="513"/>
      <c r="N69" s="505">
        <f t="shared" si="4"/>
        <v>0</v>
      </c>
      <c r="O69" s="505">
        <f t="shared" si="5"/>
        <v>0</v>
      </c>
      <c r="P69" s="279"/>
      <c r="R69" s="244"/>
      <c r="S69" s="244"/>
      <c r="T69" s="244"/>
      <c r="U69" s="244"/>
    </row>
    <row r="70" spans="2:21" ht="12.5">
      <c r="B70" s="145" t="str">
        <f t="shared" si="0"/>
        <v/>
      </c>
      <c r="C70" s="496">
        <f>IF(D11="","-",+C69+1)</f>
        <v>2067</v>
      </c>
      <c r="D70" s="509">
        <f>IF(F69+SUM(E$17:E69)=D$10,F69,D$10-SUM(E$17:E69))</f>
        <v>0</v>
      </c>
      <c r="E70" s="510">
        <f t="shared" si="7"/>
        <v>0</v>
      </c>
      <c r="F70" s="511">
        <f t="shared" si="8"/>
        <v>0</v>
      </c>
      <c r="G70" s="512">
        <f t="shared" si="9"/>
        <v>0</v>
      </c>
      <c r="H70" s="478">
        <f t="shared" si="10"/>
        <v>0</v>
      </c>
      <c r="I70" s="501">
        <f t="shared" si="6"/>
        <v>0</v>
      </c>
      <c r="J70" s="501"/>
      <c r="K70" s="513"/>
      <c r="L70" s="505">
        <f t="shared" si="11"/>
        <v>0</v>
      </c>
      <c r="M70" s="513"/>
      <c r="N70" s="505">
        <f t="shared" si="4"/>
        <v>0</v>
      </c>
      <c r="O70" s="505">
        <f t="shared" si="5"/>
        <v>0</v>
      </c>
      <c r="P70" s="279"/>
      <c r="R70" s="244"/>
      <c r="S70" s="244"/>
      <c r="T70" s="244"/>
      <c r="U70" s="244"/>
    </row>
    <row r="71" spans="2:21" ht="12.5">
      <c r="B71" s="145" t="str">
        <f t="shared" si="0"/>
        <v/>
      </c>
      <c r="C71" s="496">
        <f>IF(D11="","-",+C70+1)</f>
        <v>2068</v>
      </c>
      <c r="D71" s="509">
        <f>IF(F70+SUM(E$17:E70)=D$10,F70,D$10-SUM(E$17:E70))</f>
        <v>0</v>
      </c>
      <c r="E71" s="510">
        <f t="shared" si="7"/>
        <v>0</v>
      </c>
      <c r="F71" s="511">
        <f t="shared" si="8"/>
        <v>0</v>
      </c>
      <c r="G71" s="512">
        <f t="shared" si="9"/>
        <v>0</v>
      </c>
      <c r="H71" s="478">
        <f t="shared" si="10"/>
        <v>0</v>
      </c>
      <c r="I71" s="501">
        <f t="shared" si="6"/>
        <v>0</v>
      </c>
      <c r="J71" s="501"/>
      <c r="K71" s="513"/>
      <c r="L71" s="505">
        <f t="shared" si="11"/>
        <v>0</v>
      </c>
      <c r="M71" s="513"/>
      <c r="N71" s="505">
        <f t="shared" si="4"/>
        <v>0</v>
      </c>
      <c r="O71" s="505">
        <f t="shared" si="5"/>
        <v>0</v>
      </c>
      <c r="P71" s="279"/>
      <c r="R71" s="244"/>
      <c r="S71" s="244"/>
      <c r="T71" s="244"/>
      <c r="U71" s="244"/>
    </row>
    <row r="72" spans="2:21" ht="12.5">
      <c r="B72" s="145" t="str">
        <f t="shared" si="0"/>
        <v/>
      </c>
      <c r="C72" s="496">
        <f>IF(D11="","-",+C71+1)</f>
        <v>2069</v>
      </c>
      <c r="D72" s="509">
        <f>IF(F71+SUM(E$17:E71)=D$10,F71,D$10-SUM(E$17:E71))</f>
        <v>0</v>
      </c>
      <c r="E72" s="510">
        <f t="shared" si="7"/>
        <v>0</v>
      </c>
      <c r="F72" s="511">
        <f t="shared" si="8"/>
        <v>0</v>
      </c>
      <c r="G72" s="512">
        <f t="shared" si="9"/>
        <v>0</v>
      </c>
      <c r="H72" s="478">
        <f t="shared" si="10"/>
        <v>0</v>
      </c>
      <c r="I72" s="501">
        <f t="shared" si="6"/>
        <v>0</v>
      </c>
      <c r="J72" s="501"/>
      <c r="K72" s="513"/>
      <c r="L72" s="505">
        <f t="shared" si="11"/>
        <v>0</v>
      </c>
      <c r="M72" s="513"/>
      <c r="N72" s="505">
        <f t="shared" si="4"/>
        <v>0</v>
      </c>
      <c r="O72" s="505">
        <f t="shared" si="5"/>
        <v>0</v>
      </c>
      <c r="P72" s="279"/>
      <c r="R72" s="244"/>
      <c r="S72" s="244"/>
      <c r="T72" s="244"/>
      <c r="U72" s="244"/>
    </row>
    <row r="73" spans="2:21" ht="13" thickBot="1">
      <c r="B73" s="145" t="str">
        <f t="shared" si="0"/>
        <v/>
      </c>
      <c r="C73" s="525">
        <f>IF(D11="","-",+C72+1)</f>
        <v>2070</v>
      </c>
      <c r="D73" s="526">
        <f>IF(F72+SUM(E$17:E72)=D$10,F72,D$10-SUM(E$17:E72))</f>
        <v>0</v>
      </c>
      <c r="E73" s="527">
        <f t="shared" si="7"/>
        <v>0</v>
      </c>
      <c r="F73" s="528">
        <f t="shared" si="8"/>
        <v>0</v>
      </c>
      <c r="G73" s="612">
        <f t="shared" si="9"/>
        <v>0</v>
      </c>
      <c r="H73" s="459">
        <f t="shared" si="10"/>
        <v>0</v>
      </c>
      <c r="I73" s="530">
        <f t="shared" si="6"/>
        <v>0</v>
      </c>
      <c r="J73" s="501"/>
      <c r="K73" s="531"/>
      <c r="L73" s="532">
        <f t="shared" si="11"/>
        <v>0</v>
      </c>
      <c r="M73" s="531"/>
      <c r="N73" s="532">
        <f t="shared" si="4"/>
        <v>0</v>
      </c>
      <c r="O73" s="532">
        <f t="shared" si="5"/>
        <v>0</v>
      </c>
      <c r="P73" s="279"/>
      <c r="R73" s="244"/>
      <c r="S73" s="244"/>
      <c r="T73" s="244"/>
      <c r="U73" s="244"/>
    </row>
    <row r="74" spans="2:21" ht="12.5">
      <c r="C74" s="350" t="s">
        <v>75</v>
      </c>
      <c r="D74" s="295"/>
      <c r="E74" s="295">
        <f>SUM(E17:E73)</f>
        <v>10218098</v>
      </c>
      <c r="F74" s="295"/>
      <c r="G74" s="295">
        <f>SUM(G17:G73)</f>
        <v>35036269.827295743</v>
      </c>
      <c r="H74" s="295">
        <f>SUM(H17:H73)</f>
        <v>35036269.827295743</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439" t="str">
        <f ca="1">P1</f>
        <v>OKT Project 7 of 19</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2019</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1250604.5823260741</v>
      </c>
      <c r="N88" s="545">
        <f>IF(J93&lt;D11,0,VLOOKUP(J93,C17:O73,11))</f>
        <v>1250604.5823260741</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1282642.2709185965</v>
      </c>
      <c r="N89" s="549">
        <f>IF(J93&lt;D11,0,VLOOKUP(J93,C100:P155,7))</f>
        <v>1282642.2709185965</v>
      </c>
      <c r="O89" s="550">
        <f>+N89-M89</f>
        <v>0</v>
      </c>
      <c r="P89" s="244"/>
      <c r="Q89" s="244"/>
      <c r="R89" s="244"/>
      <c r="S89" s="244"/>
      <c r="T89" s="244"/>
      <c r="U89" s="244"/>
    </row>
    <row r="90" spans="1:21" ht="13.5" thickBot="1">
      <c r="C90" s="455" t="s">
        <v>82</v>
      </c>
      <c r="D90" s="551" t="str">
        <f>+D7</f>
        <v xml:space="preserve">Cornville Station Conversion </v>
      </c>
      <c r="E90" s="244"/>
      <c r="F90" s="244"/>
      <c r="G90" s="244"/>
      <c r="H90" s="244"/>
      <c r="I90" s="326"/>
      <c r="J90" s="326"/>
      <c r="K90" s="552"/>
      <c r="L90" s="553" t="s">
        <v>135</v>
      </c>
      <c r="M90" s="554">
        <f>+M89-M88</f>
        <v>32037.688592522405</v>
      </c>
      <c r="N90" s="554">
        <f>+N89-N88</f>
        <v>32037.688592522405</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TP2011093</v>
      </c>
      <c r="E92" s="559"/>
      <c r="F92" s="559"/>
      <c r="G92" s="559"/>
      <c r="H92" s="559"/>
      <c r="I92" s="559"/>
      <c r="J92" s="559"/>
      <c r="K92" s="561"/>
      <c r="P92" s="469"/>
      <c r="Q92" s="244"/>
      <c r="R92" s="244"/>
      <c r="S92" s="244"/>
      <c r="T92" s="244"/>
      <c r="U92" s="244"/>
    </row>
    <row r="93" spans="1:21" ht="13">
      <c r="C93" s="473" t="s">
        <v>49</v>
      </c>
      <c r="D93" s="471">
        <f>IF(D11=I10,0,D10)</f>
        <v>10218098</v>
      </c>
      <c r="E93" s="249" t="s">
        <v>84</v>
      </c>
      <c r="H93" s="409"/>
      <c r="I93" s="409"/>
      <c r="J93" s="472">
        <f>+'OKT.WS.G.BPU.ATRR.True-up'!M16</f>
        <v>2019</v>
      </c>
      <c r="K93" s="468"/>
      <c r="L93" s="295" t="s">
        <v>85</v>
      </c>
      <c r="P93" s="279"/>
      <c r="Q93" s="244"/>
      <c r="R93" s="244"/>
      <c r="S93" s="244"/>
      <c r="T93" s="244"/>
      <c r="U93" s="244"/>
    </row>
    <row r="94" spans="1:21" ht="12.5">
      <c r="C94" s="473" t="s">
        <v>52</v>
      </c>
      <c r="D94" s="562">
        <f>IF(D11=I10,"",D11)</f>
        <v>2014</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83">
        <f>IF(D11=I10,"",D12)</f>
        <v>10</v>
      </c>
      <c r="E95" s="473" t="s">
        <v>55</v>
      </c>
      <c r="F95" s="409"/>
      <c r="G95" s="409"/>
      <c r="J95" s="477">
        <f>'OKT.WS.G.BPU.ATRR.True-up'!$F$81</f>
        <v>0.10800922592579221</v>
      </c>
      <c r="K95" s="414"/>
      <c r="L95" s="145" t="s">
        <v>86</v>
      </c>
      <c r="P95" s="279"/>
      <c r="Q95" s="244"/>
      <c r="R95" s="244"/>
      <c r="S95" s="244"/>
      <c r="T95" s="244"/>
      <c r="U95" s="244"/>
    </row>
    <row r="96" spans="1:21" ht="12.5">
      <c r="C96" s="473" t="s">
        <v>57</v>
      </c>
      <c r="D96" s="475">
        <f>'OKT.WS.G.BPU.ATRR.True-up'!F$93</f>
        <v>33</v>
      </c>
      <c r="E96" s="473" t="s">
        <v>58</v>
      </c>
      <c r="F96" s="409"/>
      <c r="G96" s="409"/>
      <c r="J96" s="477">
        <f>IF(H88="",J95,'OKT.WS.G.BPU.ATRR.True-up'!$F$80)</f>
        <v>0.10800922592579221</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309639.33333333331</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B100" s="145" t="str">
        <f t="shared" ref="B100:B155" si="12">IF(D100=F99,"","IU")</f>
        <v>IU</v>
      </c>
      <c r="C100" s="496">
        <f>IF(D94= "","-",D94)</f>
        <v>2014</v>
      </c>
      <c r="D100" s="613">
        <v>0</v>
      </c>
      <c r="E100" s="614">
        <v>102248.51895114942</v>
      </c>
      <c r="F100" s="615">
        <v>10064175.65104885</v>
      </c>
      <c r="G100" s="616">
        <v>5032087.8255244251</v>
      </c>
      <c r="H100" s="616">
        <v>643416.4924496013</v>
      </c>
      <c r="I100" s="616">
        <v>643416.4924496013</v>
      </c>
      <c r="J100" s="617">
        <v>0</v>
      </c>
      <c r="K100" s="505"/>
      <c r="L100" s="507">
        <f>H100</f>
        <v>643416.4924496013</v>
      </c>
      <c r="M100" s="505">
        <f>IF(L100&lt;&gt;0,+H100-L100,0)</f>
        <v>0</v>
      </c>
      <c r="N100" s="507">
        <f>I100</f>
        <v>643416.4924496013</v>
      </c>
      <c r="O100" s="505">
        <f>IF(N100&lt;&gt;0,+I100-N100,0)</f>
        <v>0</v>
      </c>
      <c r="P100" s="505">
        <f>+O100-M100</f>
        <v>0</v>
      </c>
      <c r="Q100" s="244"/>
      <c r="R100" s="244"/>
      <c r="S100" s="244"/>
      <c r="T100" s="244"/>
      <c r="U100" s="244"/>
    </row>
    <row r="101" spans="1:21" ht="12.5">
      <c r="B101" s="145" t="str">
        <f t="shared" si="12"/>
        <v>IU</v>
      </c>
      <c r="C101" s="496">
        <f>IF(D94="","-",+C100+1)</f>
        <v>2015</v>
      </c>
      <c r="D101" s="618">
        <v>10115489.48104885</v>
      </c>
      <c r="E101" s="618">
        <v>212869.54166666666</v>
      </c>
      <c r="F101" s="618">
        <v>9902619.9393821843</v>
      </c>
      <c r="G101" s="618">
        <v>10009054.710215516</v>
      </c>
      <c r="H101" s="618">
        <v>1327171.8833094309</v>
      </c>
      <c r="I101" s="618">
        <v>1327171.8833094309</v>
      </c>
      <c r="J101" s="618">
        <v>0</v>
      </c>
      <c r="K101" s="505"/>
      <c r="L101" s="507">
        <f>H101</f>
        <v>1327171.8833094309</v>
      </c>
      <c r="M101" s="505">
        <f>IF(L101&lt;&gt;0,+H101-L101,0)</f>
        <v>0</v>
      </c>
      <c r="N101" s="507">
        <f>I101</f>
        <v>1327171.8833094309</v>
      </c>
      <c r="O101" s="505">
        <f t="shared" ref="O101:O131" si="13">IF(N101&lt;&gt;0,+I101-N101,0)</f>
        <v>0</v>
      </c>
      <c r="P101" s="505">
        <f t="shared" ref="P101:P131" si="14">+O101-M101</f>
        <v>0</v>
      </c>
      <c r="Q101" s="244"/>
      <c r="R101" s="244"/>
      <c r="S101" s="244"/>
      <c r="T101" s="244"/>
      <c r="U101" s="244"/>
    </row>
    <row r="102" spans="1:21" ht="12.5">
      <c r="B102" s="145" t="str">
        <f t="shared" si="12"/>
        <v>IU</v>
      </c>
      <c r="C102" s="496">
        <f>IF(D94="","-",+C101+1)</f>
        <v>2016</v>
      </c>
      <c r="D102" s="618">
        <v>9902979.9393821843</v>
      </c>
      <c r="E102" s="618">
        <v>200354.86274509804</v>
      </c>
      <c r="F102" s="618">
        <v>9702625.0766370855</v>
      </c>
      <c r="G102" s="618">
        <v>9802802.5080096349</v>
      </c>
      <c r="H102" s="618">
        <v>1262679.2712885526</v>
      </c>
      <c r="I102" s="618">
        <v>1262679.2712885526</v>
      </c>
      <c r="J102" s="505">
        <f t="shared" ref="J102:J155" si="15">+I102-H102</f>
        <v>0</v>
      </c>
      <c r="K102" s="505"/>
      <c r="L102" s="507">
        <f>H102</f>
        <v>1262679.2712885526</v>
      </c>
      <c r="M102" s="505">
        <f>IF(L102&lt;&gt;0,+H102-L102,0)</f>
        <v>0</v>
      </c>
      <c r="N102" s="507">
        <f>I102</f>
        <v>1262679.2712885526</v>
      </c>
      <c r="O102" s="505">
        <f>IF(N102&lt;&gt;0,+I102-N102,0)</f>
        <v>0</v>
      </c>
      <c r="P102" s="505">
        <f>+O102-M102</f>
        <v>0</v>
      </c>
      <c r="Q102" s="244"/>
      <c r="R102" s="244"/>
      <c r="S102" s="244"/>
      <c r="T102" s="244"/>
      <c r="U102" s="244"/>
    </row>
    <row r="103" spans="1:21" ht="12.5">
      <c r="B103" s="145" t="str">
        <f t="shared" si="12"/>
        <v/>
      </c>
      <c r="C103" s="496">
        <f>IF(D94="","-",+C102+1)</f>
        <v>2017</v>
      </c>
      <c r="D103" s="618">
        <v>9702625.0766370855</v>
      </c>
      <c r="E103" s="618">
        <v>255452.45</v>
      </c>
      <c r="F103" s="618">
        <v>9447172.6266370863</v>
      </c>
      <c r="G103" s="618">
        <v>9574898.8516370859</v>
      </c>
      <c r="H103" s="618">
        <v>1378931.4814948814</v>
      </c>
      <c r="I103" s="618">
        <v>1378931.4814948814</v>
      </c>
      <c r="J103" s="505">
        <f t="shared" si="15"/>
        <v>0</v>
      </c>
      <c r="K103" s="505"/>
      <c r="L103" s="507">
        <f>H103</f>
        <v>1378931.4814948814</v>
      </c>
      <c r="M103" s="505">
        <f>IF(L103&lt;&gt;0,+H103-L103,0)</f>
        <v>0</v>
      </c>
      <c r="N103" s="507">
        <f>I103</f>
        <v>1378931.4814948814</v>
      </c>
      <c r="O103" s="505">
        <f>IF(N103&lt;&gt;0,+I103-N103,0)</f>
        <v>0</v>
      </c>
      <c r="P103" s="505">
        <f>+O103-M103</f>
        <v>0</v>
      </c>
      <c r="Q103" s="244"/>
      <c r="R103" s="244"/>
      <c r="S103" s="244"/>
      <c r="T103" s="244"/>
      <c r="U103" s="244"/>
    </row>
    <row r="104" spans="1:21" ht="12.5">
      <c r="B104" s="145" t="str">
        <f t="shared" si="12"/>
        <v/>
      </c>
      <c r="C104" s="496">
        <f>IF(D94="","-",+C103+1)</f>
        <v>2018</v>
      </c>
      <c r="D104" s="618">
        <v>9447172.6266370863</v>
      </c>
      <c r="E104" s="618">
        <v>283836.05555555556</v>
      </c>
      <c r="F104" s="618">
        <v>9163336.5710815303</v>
      </c>
      <c r="G104" s="618">
        <v>9305254.5988593083</v>
      </c>
      <c r="H104" s="618">
        <v>1266121.5205016474</v>
      </c>
      <c r="I104" s="618">
        <v>1266121.5205016474</v>
      </c>
      <c r="J104" s="505">
        <f t="shared" si="15"/>
        <v>0</v>
      </c>
      <c r="K104" s="505"/>
      <c r="L104" s="507">
        <f>H104</f>
        <v>1266121.5205016474</v>
      </c>
      <c r="M104" s="505">
        <f>IF(L104&lt;&gt;0,+H104-L104,0)</f>
        <v>0</v>
      </c>
      <c r="N104" s="507">
        <f>I104</f>
        <v>1266121.5205016474</v>
      </c>
      <c r="O104" s="505">
        <f>IF(N104&lt;&gt;0,+I104-N104,0)</f>
        <v>0</v>
      </c>
      <c r="P104" s="505">
        <f>+O104-M104</f>
        <v>0</v>
      </c>
      <c r="Q104" s="244"/>
      <c r="R104" s="244"/>
      <c r="S104" s="244"/>
      <c r="T104" s="244"/>
      <c r="U104" s="244"/>
    </row>
    <row r="105" spans="1:21" ht="12.5">
      <c r="B105" s="145" t="str">
        <f t="shared" si="12"/>
        <v/>
      </c>
      <c r="C105" s="496">
        <f>IF(D94="","-",+C104+1)</f>
        <v>2019</v>
      </c>
      <c r="D105" s="350">
        <f>IF(F104+SUM(E$100:E104)=D$93,F104,D$93-SUM(E$100:E104))</f>
        <v>9163336.5710815303</v>
      </c>
      <c r="E105" s="510">
        <f t="shared" ref="E105:E155" si="16">IF(+$J$97&lt;F104,$J$97,D105)</f>
        <v>309639.33333333331</v>
      </c>
      <c r="F105" s="511">
        <f t="shared" ref="F105:F155" si="17">+D105-E105</f>
        <v>8853697.2377481963</v>
      </c>
      <c r="G105" s="511">
        <f t="shared" ref="G105:G155" si="18">+(F105+D105)/2</f>
        <v>9008516.9044148624</v>
      </c>
      <c r="H105" s="524">
        <f t="shared" ref="H105:H155" si="19">+J$95*G105+E105</f>
        <v>1282642.2709185965</v>
      </c>
      <c r="I105" s="573">
        <f t="shared" ref="I105:I155" si="20">+J$96*G105+E105</f>
        <v>1282642.2709185965</v>
      </c>
      <c r="J105" s="505">
        <f t="shared" si="15"/>
        <v>0</v>
      </c>
      <c r="K105" s="505"/>
      <c r="L105" s="513"/>
      <c r="M105" s="505">
        <f t="shared" ref="M105:M131" si="21">IF(L105&lt;&gt;0,+H105-L105,0)</f>
        <v>0</v>
      </c>
      <c r="N105" s="513"/>
      <c r="O105" s="505">
        <f t="shared" si="13"/>
        <v>0</v>
      </c>
      <c r="P105" s="505">
        <f t="shared" si="14"/>
        <v>0</v>
      </c>
      <c r="Q105" s="244"/>
      <c r="R105" s="244"/>
      <c r="S105" s="244"/>
      <c r="T105" s="244"/>
      <c r="U105" s="244"/>
    </row>
    <row r="106" spans="1:21" ht="12.5">
      <c r="B106" s="145" t="str">
        <f t="shared" si="12"/>
        <v/>
      </c>
      <c r="C106" s="496">
        <f>IF(D94="","-",+C105+1)</f>
        <v>2020</v>
      </c>
      <c r="D106" s="350">
        <f>IF(F105+SUM(E$100:E105)=D$93,F105,D$93-SUM(E$100:E105))</f>
        <v>8853697.2377481963</v>
      </c>
      <c r="E106" s="510">
        <f t="shared" si="16"/>
        <v>309639.33333333331</v>
      </c>
      <c r="F106" s="511">
        <f t="shared" si="17"/>
        <v>8544057.9044148624</v>
      </c>
      <c r="G106" s="511">
        <f t="shared" si="18"/>
        <v>8698877.5710815303</v>
      </c>
      <c r="H106" s="524">
        <f t="shared" si="19"/>
        <v>1249198.3662090849</v>
      </c>
      <c r="I106" s="573">
        <f t="shared" si="20"/>
        <v>1249198.3662090849</v>
      </c>
      <c r="J106" s="505">
        <f t="shared" si="15"/>
        <v>0</v>
      </c>
      <c r="K106" s="505"/>
      <c r="L106" s="513"/>
      <c r="M106" s="505">
        <f t="shared" si="21"/>
        <v>0</v>
      </c>
      <c r="N106" s="513"/>
      <c r="O106" s="505">
        <f t="shared" si="13"/>
        <v>0</v>
      </c>
      <c r="P106" s="505">
        <f t="shared" si="14"/>
        <v>0</v>
      </c>
      <c r="Q106" s="244"/>
      <c r="R106" s="244"/>
      <c r="S106" s="244"/>
      <c r="T106" s="244"/>
      <c r="U106" s="244"/>
    </row>
    <row r="107" spans="1:21" ht="12.5">
      <c r="B107" s="145" t="str">
        <f t="shared" si="12"/>
        <v/>
      </c>
      <c r="C107" s="496">
        <f>IF(D94="","-",+C106+1)</f>
        <v>2021</v>
      </c>
      <c r="D107" s="350">
        <f>IF(F106+SUM(E$100:E106)=D$93,F106,D$93-SUM(E$100:E106))</f>
        <v>8544057.9044148624</v>
      </c>
      <c r="E107" s="510">
        <f t="shared" si="16"/>
        <v>309639.33333333331</v>
      </c>
      <c r="F107" s="511">
        <f t="shared" si="17"/>
        <v>8234418.5710815294</v>
      </c>
      <c r="G107" s="511">
        <f t="shared" si="18"/>
        <v>8389238.2377481963</v>
      </c>
      <c r="H107" s="524">
        <f t="shared" si="19"/>
        <v>1215754.4614995732</v>
      </c>
      <c r="I107" s="573">
        <f t="shared" si="20"/>
        <v>1215754.4614995732</v>
      </c>
      <c r="J107" s="505">
        <f t="shared" si="15"/>
        <v>0</v>
      </c>
      <c r="K107" s="505"/>
      <c r="L107" s="513"/>
      <c r="M107" s="505">
        <f t="shared" si="21"/>
        <v>0</v>
      </c>
      <c r="N107" s="513"/>
      <c r="O107" s="505">
        <f t="shared" si="13"/>
        <v>0</v>
      </c>
      <c r="P107" s="505">
        <f t="shared" si="14"/>
        <v>0</v>
      </c>
      <c r="Q107" s="244"/>
      <c r="R107" s="244"/>
      <c r="S107" s="244"/>
      <c r="T107" s="244"/>
      <c r="U107" s="244"/>
    </row>
    <row r="108" spans="1:21" ht="12.5">
      <c r="B108" s="145" t="str">
        <f t="shared" si="12"/>
        <v/>
      </c>
      <c r="C108" s="496">
        <f>IF(D94="","-",+C107+1)</f>
        <v>2022</v>
      </c>
      <c r="D108" s="350">
        <f>IF(F107+SUM(E$100:E107)=D$93,F107,D$93-SUM(E$100:E107))</f>
        <v>8234418.5710815294</v>
      </c>
      <c r="E108" s="510">
        <f t="shared" si="16"/>
        <v>309639.33333333331</v>
      </c>
      <c r="F108" s="511">
        <f t="shared" si="17"/>
        <v>7924779.2377481963</v>
      </c>
      <c r="G108" s="511">
        <f t="shared" si="18"/>
        <v>8079598.9044148624</v>
      </c>
      <c r="H108" s="524">
        <f t="shared" si="19"/>
        <v>1182310.5567900613</v>
      </c>
      <c r="I108" s="573">
        <f t="shared" si="20"/>
        <v>1182310.5567900613</v>
      </c>
      <c r="J108" s="505">
        <f t="shared" si="15"/>
        <v>0</v>
      </c>
      <c r="K108" s="505"/>
      <c r="L108" s="513"/>
      <c r="M108" s="505">
        <f t="shared" si="21"/>
        <v>0</v>
      </c>
      <c r="N108" s="513"/>
      <c r="O108" s="505">
        <f t="shared" si="13"/>
        <v>0</v>
      </c>
      <c r="P108" s="505">
        <f t="shared" si="14"/>
        <v>0</v>
      </c>
      <c r="Q108" s="244"/>
      <c r="R108" s="244"/>
      <c r="S108" s="244"/>
      <c r="T108" s="244"/>
      <c r="U108" s="244"/>
    </row>
    <row r="109" spans="1:21" ht="12.5">
      <c r="B109" s="145" t="str">
        <f t="shared" si="12"/>
        <v/>
      </c>
      <c r="C109" s="496">
        <f>IF(D94="","-",+C108+1)</f>
        <v>2023</v>
      </c>
      <c r="D109" s="350">
        <f>IF(F108+SUM(E$100:E108)=D$93,F108,D$93-SUM(E$100:E108))</f>
        <v>7924779.2377481963</v>
      </c>
      <c r="E109" s="510">
        <f t="shared" si="16"/>
        <v>309639.33333333331</v>
      </c>
      <c r="F109" s="511">
        <f t="shared" si="17"/>
        <v>7615139.9044148633</v>
      </c>
      <c r="G109" s="511">
        <f t="shared" si="18"/>
        <v>7769959.5710815303</v>
      </c>
      <c r="H109" s="524">
        <f t="shared" si="19"/>
        <v>1148866.6520805499</v>
      </c>
      <c r="I109" s="573">
        <f t="shared" si="20"/>
        <v>1148866.6520805499</v>
      </c>
      <c r="J109" s="505">
        <f t="shared" si="15"/>
        <v>0</v>
      </c>
      <c r="K109" s="505"/>
      <c r="L109" s="513"/>
      <c r="M109" s="505">
        <f t="shared" si="21"/>
        <v>0</v>
      </c>
      <c r="N109" s="513"/>
      <c r="O109" s="505">
        <f t="shared" si="13"/>
        <v>0</v>
      </c>
      <c r="P109" s="505">
        <f t="shared" si="14"/>
        <v>0</v>
      </c>
      <c r="Q109" s="244"/>
      <c r="R109" s="244"/>
      <c r="S109" s="244"/>
      <c r="T109" s="244"/>
      <c r="U109" s="244"/>
    </row>
    <row r="110" spans="1:21" ht="12.5">
      <c r="B110" s="145" t="str">
        <f t="shared" si="12"/>
        <v/>
      </c>
      <c r="C110" s="496">
        <f>IF(D94="","-",+C109+1)</f>
        <v>2024</v>
      </c>
      <c r="D110" s="350">
        <f>IF(F109+SUM(E$100:E109)=D$93,F109,D$93-SUM(E$100:E109))</f>
        <v>7615139.9044148633</v>
      </c>
      <c r="E110" s="510">
        <f t="shared" si="16"/>
        <v>309639.33333333331</v>
      </c>
      <c r="F110" s="511">
        <f t="shared" si="17"/>
        <v>7305500.5710815303</v>
      </c>
      <c r="G110" s="511">
        <f t="shared" si="18"/>
        <v>7460320.2377481963</v>
      </c>
      <c r="H110" s="524">
        <f t="shared" si="19"/>
        <v>1115422.7473710382</v>
      </c>
      <c r="I110" s="573">
        <f t="shared" si="20"/>
        <v>1115422.7473710382</v>
      </c>
      <c r="J110" s="505">
        <f t="shared" si="15"/>
        <v>0</v>
      </c>
      <c r="K110" s="505"/>
      <c r="L110" s="513"/>
      <c r="M110" s="505">
        <f t="shared" si="21"/>
        <v>0</v>
      </c>
      <c r="N110" s="513"/>
      <c r="O110" s="505">
        <f t="shared" si="13"/>
        <v>0</v>
      </c>
      <c r="P110" s="505">
        <f t="shared" si="14"/>
        <v>0</v>
      </c>
      <c r="Q110" s="244"/>
      <c r="R110" s="244"/>
      <c r="S110" s="244"/>
      <c r="T110" s="244"/>
      <c r="U110" s="244"/>
    </row>
    <row r="111" spans="1:21" ht="12.5">
      <c r="B111" s="145" t="str">
        <f t="shared" si="12"/>
        <v/>
      </c>
      <c r="C111" s="496">
        <f>IF(D94="","-",+C110+1)</f>
        <v>2025</v>
      </c>
      <c r="D111" s="350">
        <f>IF(F110+SUM(E$100:E110)=D$93,F110,D$93-SUM(E$100:E110))</f>
        <v>7305500.5710815303</v>
      </c>
      <c r="E111" s="510">
        <f t="shared" si="16"/>
        <v>309639.33333333331</v>
      </c>
      <c r="F111" s="511">
        <f t="shared" si="17"/>
        <v>6995861.2377481973</v>
      </c>
      <c r="G111" s="511">
        <f t="shared" si="18"/>
        <v>7150680.9044148643</v>
      </c>
      <c r="H111" s="524">
        <f t="shared" si="19"/>
        <v>1081978.8426615265</v>
      </c>
      <c r="I111" s="573">
        <f t="shared" si="20"/>
        <v>1081978.8426615265</v>
      </c>
      <c r="J111" s="505">
        <f t="shared" si="15"/>
        <v>0</v>
      </c>
      <c r="K111" s="505"/>
      <c r="L111" s="513"/>
      <c r="M111" s="505">
        <f t="shared" si="21"/>
        <v>0</v>
      </c>
      <c r="N111" s="513"/>
      <c r="O111" s="505">
        <f t="shared" si="13"/>
        <v>0</v>
      </c>
      <c r="P111" s="505">
        <f t="shared" si="14"/>
        <v>0</v>
      </c>
      <c r="Q111" s="244"/>
      <c r="R111" s="244"/>
      <c r="S111" s="244"/>
      <c r="T111" s="244"/>
      <c r="U111" s="244"/>
    </row>
    <row r="112" spans="1:21" ht="12.5">
      <c r="B112" s="145" t="str">
        <f t="shared" si="12"/>
        <v/>
      </c>
      <c r="C112" s="496">
        <f>IF(D94="","-",+C111+1)</f>
        <v>2026</v>
      </c>
      <c r="D112" s="350">
        <f>IF(F111+SUM(E$100:E111)=D$93,F111,D$93-SUM(E$100:E111))</f>
        <v>6995861.2377481973</v>
      </c>
      <c r="E112" s="510">
        <f t="shared" si="16"/>
        <v>309639.33333333331</v>
      </c>
      <c r="F112" s="511">
        <f t="shared" si="17"/>
        <v>6686221.9044148643</v>
      </c>
      <c r="G112" s="511">
        <f t="shared" si="18"/>
        <v>6841041.5710815303</v>
      </c>
      <c r="H112" s="524">
        <f t="shared" si="19"/>
        <v>1048534.9379520149</v>
      </c>
      <c r="I112" s="573">
        <f t="shared" si="20"/>
        <v>1048534.9379520149</v>
      </c>
      <c r="J112" s="505">
        <f t="shared" si="15"/>
        <v>0</v>
      </c>
      <c r="K112" s="505"/>
      <c r="L112" s="513"/>
      <c r="M112" s="505">
        <f t="shared" si="21"/>
        <v>0</v>
      </c>
      <c r="N112" s="513"/>
      <c r="O112" s="505">
        <f t="shared" si="13"/>
        <v>0</v>
      </c>
      <c r="P112" s="505">
        <f t="shared" si="14"/>
        <v>0</v>
      </c>
      <c r="Q112" s="244"/>
      <c r="R112" s="244"/>
      <c r="S112" s="244"/>
      <c r="T112" s="244"/>
      <c r="U112" s="244"/>
    </row>
    <row r="113" spans="2:21" ht="12.5">
      <c r="B113" s="145" t="str">
        <f t="shared" si="12"/>
        <v/>
      </c>
      <c r="C113" s="496">
        <f>IF(D94="","-",+C112+1)</f>
        <v>2027</v>
      </c>
      <c r="D113" s="350">
        <f>IF(F112+SUM(E$100:E112)=D$93,F112,D$93-SUM(E$100:E112))</f>
        <v>6686221.9044148643</v>
      </c>
      <c r="E113" s="510">
        <f t="shared" si="16"/>
        <v>309639.33333333331</v>
      </c>
      <c r="F113" s="511">
        <f t="shared" si="17"/>
        <v>6376582.5710815312</v>
      </c>
      <c r="G113" s="511">
        <f t="shared" si="18"/>
        <v>6531402.2377481982</v>
      </c>
      <c r="H113" s="524">
        <f t="shared" si="19"/>
        <v>1015091.0332425032</v>
      </c>
      <c r="I113" s="573">
        <f t="shared" si="20"/>
        <v>1015091.0332425032</v>
      </c>
      <c r="J113" s="505">
        <f t="shared" si="15"/>
        <v>0</v>
      </c>
      <c r="K113" s="505"/>
      <c r="L113" s="513"/>
      <c r="M113" s="505">
        <f t="shared" si="21"/>
        <v>0</v>
      </c>
      <c r="N113" s="513"/>
      <c r="O113" s="505">
        <f t="shared" si="13"/>
        <v>0</v>
      </c>
      <c r="P113" s="505">
        <f t="shared" si="14"/>
        <v>0</v>
      </c>
      <c r="Q113" s="244"/>
      <c r="R113" s="244"/>
      <c r="S113" s="244"/>
      <c r="T113" s="244"/>
      <c r="U113" s="244"/>
    </row>
    <row r="114" spans="2:21" ht="12.5">
      <c r="B114" s="145" t="str">
        <f t="shared" si="12"/>
        <v/>
      </c>
      <c r="C114" s="496">
        <f>IF(D94="","-",+C113+1)</f>
        <v>2028</v>
      </c>
      <c r="D114" s="350">
        <f>IF(F113+SUM(E$100:E113)=D$93,F113,D$93-SUM(E$100:E113))</f>
        <v>6376582.5710815312</v>
      </c>
      <c r="E114" s="510">
        <f t="shared" si="16"/>
        <v>309639.33333333331</v>
      </c>
      <c r="F114" s="511">
        <f t="shared" si="17"/>
        <v>6066943.2377481982</v>
      </c>
      <c r="G114" s="511">
        <f t="shared" si="18"/>
        <v>6221762.9044148643</v>
      </c>
      <c r="H114" s="524">
        <f t="shared" si="19"/>
        <v>981647.12853299151</v>
      </c>
      <c r="I114" s="573">
        <f t="shared" si="20"/>
        <v>981647.12853299151</v>
      </c>
      <c r="J114" s="505">
        <f t="shared" si="15"/>
        <v>0</v>
      </c>
      <c r="K114" s="505"/>
      <c r="L114" s="513"/>
      <c r="M114" s="505">
        <f t="shared" si="21"/>
        <v>0</v>
      </c>
      <c r="N114" s="513"/>
      <c r="O114" s="505">
        <f t="shared" si="13"/>
        <v>0</v>
      </c>
      <c r="P114" s="505">
        <f t="shared" si="14"/>
        <v>0</v>
      </c>
      <c r="Q114" s="244"/>
      <c r="R114" s="244"/>
      <c r="S114" s="244"/>
      <c r="T114" s="244"/>
      <c r="U114" s="244"/>
    </row>
    <row r="115" spans="2:21" ht="12.5">
      <c r="B115" s="145" t="str">
        <f t="shared" si="12"/>
        <v/>
      </c>
      <c r="C115" s="496">
        <f>IF(D94="","-",+C114+1)</f>
        <v>2029</v>
      </c>
      <c r="D115" s="350">
        <f>IF(F114+SUM(E$100:E114)=D$93,F114,D$93-SUM(E$100:E114))</f>
        <v>6066943.2377481982</v>
      </c>
      <c r="E115" s="510">
        <f t="shared" si="16"/>
        <v>309639.33333333331</v>
      </c>
      <c r="F115" s="511">
        <f t="shared" si="17"/>
        <v>5757303.9044148652</v>
      </c>
      <c r="G115" s="511">
        <f t="shared" si="18"/>
        <v>5912123.5710815322</v>
      </c>
      <c r="H115" s="524">
        <f t="shared" si="19"/>
        <v>948203.22382347984</v>
      </c>
      <c r="I115" s="573">
        <f t="shared" si="20"/>
        <v>948203.22382347984</v>
      </c>
      <c r="J115" s="505">
        <f t="shared" si="15"/>
        <v>0</v>
      </c>
      <c r="K115" s="505"/>
      <c r="L115" s="513"/>
      <c r="M115" s="505">
        <f t="shared" si="21"/>
        <v>0</v>
      </c>
      <c r="N115" s="513"/>
      <c r="O115" s="505">
        <f t="shared" si="13"/>
        <v>0</v>
      </c>
      <c r="P115" s="505">
        <f t="shared" si="14"/>
        <v>0</v>
      </c>
      <c r="Q115" s="244"/>
      <c r="R115" s="244"/>
      <c r="S115" s="244"/>
      <c r="T115" s="244"/>
      <c r="U115" s="244"/>
    </row>
    <row r="116" spans="2:21" ht="12.5">
      <c r="B116" s="145" t="str">
        <f t="shared" si="12"/>
        <v/>
      </c>
      <c r="C116" s="496">
        <f>IF(D94="","-",+C115+1)</f>
        <v>2030</v>
      </c>
      <c r="D116" s="350">
        <f>IF(F115+SUM(E$100:E115)=D$93,F115,D$93-SUM(E$100:E115))</f>
        <v>5757303.9044148652</v>
      </c>
      <c r="E116" s="510">
        <f t="shared" si="16"/>
        <v>309639.33333333331</v>
      </c>
      <c r="F116" s="511">
        <f t="shared" si="17"/>
        <v>5447664.5710815322</v>
      </c>
      <c r="G116" s="511">
        <f t="shared" si="18"/>
        <v>5602484.2377481982</v>
      </c>
      <c r="H116" s="524">
        <f t="shared" si="19"/>
        <v>914759.31911396817</v>
      </c>
      <c r="I116" s="573">
        <f t="shared" si="20"/>
        <v>914759.31911396817</v>
      </c>
      <c r="J116" s="505">
        <f t="shared" si="15"/>
        <v>0</v>
      </c>
      <c r="K116" s="505"/>
      <c r="L116" s="513"/>
      <c r="M116" s="505">
        <f t="shared" si="21"/>
        <v>0</v>
      </c>
      <c r="N116" s="513"/>
      <c r="O116" s="505">
        <f t="shared" si="13"/>
        <v>0</v>
      </c>
      <c r="P116" s="505">
        <f t="shared" si="14"/>
        <v>0</v>
      </c>
      <c r="Q116" s="244"/>
      <c r="R116" s="244"/>
      <c r="S116" s="244"/>
      <c r="T116" s="244"/>
      <c r="U116" s="244"/>
    </row>
    <row r="117" spans="2:21" ht="12.5">
      <c r="B117" s="145" t="str">
        <f t="shared" si="12"/>
        <v/>
      </c>
      <c r="C117" s="496">
        <f>IF(D94="","-",+C116+1)</f>
        <v>2031</v>
      </c>
      <c r="D117" s="350">
        <f>IF(F116+SUM(E$100:E116)=D$93,F116,D$93-SUM(E$100:E116))</f>
        <v>5447664.5710815322</v>
      </c>
      <c r="E117" s="510">
        <f t="shared" si="16"/>
        <v>309639.33333333331</v>
      </c>
      <c r="F117" s="511">
        <f t="shared" si="17"/>
        <v>5138025.2377481991</v>
      </c>
      <c r="G117" s="511">
        <f t="shared" si="18"/>
        <v>5292844.9044148661</v>
      </c>
      <c r="H117" s="524">
        <f t="shared" si="19"/>
        <v>881315.41440445674</v>
      </c>
      <c r="I117" s="573">
        <f t="shared" si="20"/>
        <v>881315.41440445674</v>
      </c>
      <c r="J117" s="505">
        <f t="shared" si="15"/>
        <v>0</v>
      </c>
      <c r="K117" s="505"/>
      <c r="L117" s="513"/>
      <c r="M117" s="505">
        <f t="shared" si="21"/>
        <v>0</v>
      </c>
      <c r="N117" s="513"/>
      <c r="O117" s="505">
        <f t="shared" si="13"/>
        <v>0</v>
      </c>
      <c r="P117" s="505">
        <f t="shared" si="14"/>
        <v>0</v>
      </c>
      <c r="Q117" s="244"/>
      <c r="R117" s="244"/>
      <c r="S117" s="244"/>
      <c r="T117" s="244"/>
      <c r="U117" s="244"/>
    </row>
    <row r="118" spans="2:21" ht="12.5">
      <c r="B118" s="145" t="str">
        <f t="shared" si="12"/>
        <v/>
      </c>
      <c r="C118" s="496">
        <f>IF(D94="","-",+C117+1)</f>
        <v>2032</v>
      </c>
      <c r="D118" s="350">
        <f>IF(F117+SUM(E$100:E117)=D$93,F117,D$93-SUM(E$100:E117))</f>
        <v>5138025.2377481991</v>
      </c>
      <c r="E118" s="510">
        <f t="shared" si="16"/>
        <v>309639.33333333331</v>
      </c>
      <c r="F118" s="511">
        <f t="shared" si="17"/>
        <v>4828385.9044148661</v>
      </c>
      <c r="G118" s="511">
        <f t="shared" si="18"/>
        <v>4983205.5710815322</v>
      </c>
      <c r="H118" s="524">
        <f t="shared" si="19"/>
        <v>847871.50969494483</v>
      </c>
      <c r="I118" s="573">
        <f t="shared" si="20"/>
        <v>847871.50969494483</v>
      </c>
      <c r="J118" s="505">
        <f t="shared" si="15"/>
        <v>0</v>
      </c>
      <c r="K118" s="505"/>
      <c r="L118" s="513"/>
      <c r="M118" s="505">
        <f t="shared" si="21"/>
        <v>0</v>
      </c>
      <c r="N118" s="513"/>
      <c r="O118" s="505">
        <f t="shared" si="13"/>
        <v>0</v>
      </c>
      <c r="P118" s="505">
        <f t="shared" si="14"/>
        <v>0</v>
      </c>
      <c r="Q118" s="244"/>
      <c r="R118" s="244"/>
      <c r="S118" s="244"/>
      <c r="T118" s="244"/>
      <c r="U118" s="244"/>
    </row>
    <row r="119" spans="2:21" ht="12.5">
      <c r="B119" s="145" t="str">
        <f t="shared" si="12"/>
        <v/>
      </c>
      <c r="C119" s="496">
        <f>IF(D94="","-",+C118+1)</f>
        <v>2033</v>
      </c>
      <c r="D119" s="350">
        <f>IF(F118+SUM(E$100:E118)=D$93,F118,D$93-SUM(E$100:E118))</f>
        <v>4828385.9044148661</v>
      </c>
      <c r="E119" s="510">
        <f t="shared" si="16"/>
        <v>309639.33333333331</v>
      </c>
      <c r="F119" s="511">
        <f t="shared" si="17"/>
        <v>4518746.5710815331</v>
      </c>
      <c r="G119" s="511">
        <f t="shared" si="18"/>
        <v>4673566.2377482001</v>
      </c>
      <c r="H119" s="524">
        <f t="shared" si="19"/>
        <v>814427.6049854334</v>
      </c>
      <c r="I119" s="573">
        <f t="shared" si="20"/>
        <v>814427.6049854334</v>
      </c>
      <c r="J119" s="505">
        <f t="shared" si="15"/>
        <v>0</v>
      </c>
      <c r="K119" s="505"/>
      <c r="L119" s="513"/>
      <c r="M119" s="505">
        <f t="shared" si="21"/>
        <v>0</v>
      </c>
      <c r="N119" s="513"/>
      <c r="O119" s="505">
        <f t="shared" si="13"/>
        <v>0</v>
      </c>
      <c r="P119" s="505">
        <f t="shared" si="14"/>
        <v>0</v>
      </c>
      <c r="Q119" s="244"/>
      <c r="R119" s="244"/>
      <c r="S119" s="244"/>
      <c r="T119" s="244"/>
      <c r="U119" s="244"/>
    </row>
    <row r="120" spans="2:21" ht="12.5">
      <c r="B120" s="145" t="str">
        <f t="shared" si="12"/>
        <v/>
      </c>
      <c r="C120" s="496">
        <f>IF(D94="","-",+C119+1)</f>
        <v>2034</v>
      </c>
      <c r="D120" s="350">
        <f>IF(F119+SUM(E$100:E119)=D$93,F119,D$93-SUM(E$100:E119))</f>
        <v>4518746.5710815331</v>
      </c>
      <c r="E120" s="510">
        <f t="shared" si="16"/>
        <v>309639.33333333331</v>
      </c>
      <c r="F120" s="511">
        <f t="shared" si="17"/>
        <v>4209107.2377482001</v>
      </c>
      <c r="G120" s="511">
        <f t="shared" si="18"/>
        <v>4363926.9044148661</v>
      </c>
      <c r="H120" s="524">
        <f t="shared" si="19"/>
        <v>780983.70027592161</v>
      </c>
      <c r="I120" s="573">
        <f t="shared" si="20"/>
        <v>780983.70027592161</v>
      </c>
      <c r="J120" s="505">
        <f t="shared" si="15"/>
        <v>0</v>
      </c>
      <c r="K120" s="505"/>
      <c r="L120" s="513"/>
      <c r="M120" s="505">
        <f t="shared" si="21"/>
        <v>0</v>
      </c>
      <c r="N120" s="513"/>
      <c r="O120" s="505">
        <f t="shared" si="13"/>
        <v>0</v>
      </c>
      <c r="P120" s="505">
        <f t="shared" si="14"/>
        <v>0</v>
      </c>
      <c r="Q120" s="244"/>
      <c r="R120" s="244"/>
      <c r="S120" s="244"/>
      <c r="T120" s="244"/>
      <c r="U120" s="244"/>
    </row>
    <row r="121" spans="2:21" ht="12.5">
      <c r="B121" s="145" t="str">
        <f t="shared" si="12"/>
        <v/>
      </c>
      <c r="C121" s="496">
        <f>IF(D94="","-",+C120+1)</f>
        <v>2035</v>
      </c>
      <c r="D121" s="350">
        <f>IF(F120+SUM(E$100:E120)=D$93,F120,D$93-SUM(E$100:E120))</f>
        <v>4209107.2377482001</v>
      </c>
      <c r="E121" s="510">
        <f t="shared" si="16"/>
        <v>309639.33333333331</v>
      </c>
      <c r="F121" s="511">
        <f t="shared" si="17"/>
        <v>3899467.9044148666</v>
      </c>
      <c r="G121" s="511">
        <f t="shared" si="18"/>
        <v>4054287.5710815331</v>
      </c>
      <c r="H121" s="524">
        <f t="shared" si="19"/>
        <v>747539.79556640994</v>
      </c>
      <c r="I121" s="573">
        <f t="shared" si="20"/>
        <v>747539.79556640994</v>
      </c>
      <c r="J121" s="505">
        <f t="shared" si="15"/>
        <v>0</v>
      </c>
      <c r="K121" s="505"/>
      <c r="L121" s="513"/>
      <c r="M121" s="505">
        <f t="shared" si="21"/>
        <v>0</v>
      </c>
      <c r="N121" s="513"/>
      <c r="O121" s="505">
        <f t="shared" si="13"/>
        <v>0</v>
      </c>
      <c r="P121" s="505">
        <f t="shared" si="14"/>
        <v>0</v>
      </c>
      <c r="Q121" s="244"/>
      <c r="R121" s="244"/>
      <c r="S121" s="244"/>
      <c r="T121" s="244"/>
      <c r="U121" s="244"/>
    </row>
    <row r="122" spans="2:21" ht="12.5">
      <c r="B122" s="145" t="str">
        <f t="shared" si="12"/>
        <v/>
      </c>
      <c r="C122" s="496">
        <f>IF(D94="","-",+C121+1)</f>
        <v>2036</v>
      </c>
      <c r="D122" s="350">
        <f>IF(F121+SUM(E$100:E121)=D$93,F121,D$93-SUM(E$100:E121))</f>
        <v>3899467.9044148666</v>
      </c>
      <c r="E122" s="510">
        <f t="shared" si="16"/>
        <v>309639.33333333331</v>
      </c>
      <c r="F122" s="511">
        <f t="shared" si="17"/>
        <v>3589828.5710815331</v>
      </c>
      <c r="G122" s="511">
        <f t="shared" si="18"/>
        <v>3744648.2377482001</v>
      </c>
      <c r="H122" s="524">
        <f t="shared" si="19"/>
        <v>714095.89085689839</v>
      </c>
      <c r="I122" s="573">
        <f t="shared" si="20"/>
        <v>714095.89085689839</v>
      </c>
      <c r="J122" s="505">
        <f t="shared" si="15"/>
        <v>0</v>
      </c>
      <c r="K122" s="505"/>
      <c r="L122" s="513"/>
      <c r="M122" s="505">
        <f t="shared" si="21"/>
        <v>0</v>
      </c>
      <c r="N122" s="513"/>
      <c r="O122" s="505">
        <f t="shared" si="13"/>
        <v>0</v>
      </c>
      <c r="P122" s="505">
        <f t="shared" si="14"/>
        <v>0</v>
      </c>
      <c r="Q122" s="244"/>
      <c r="R122" s="244"/>
      <c r="S122" s="244"/>
      <c r="T122" s="244"/>
      <c r="U122" s="244"/>
    </row>
    <row r="123" spans="2:21" ht="12.5">
      <c r="B123" s="145" t="str">
        <f t="shared" si="12"/>
        <v/>
      </c>
      <c r="C123" s="496">
        <f>IF(D94="","-",+C122+1)</f>
        <v>2037</v>
      </c>
      <c r="D123" s="350">
        <f>IF(F122+SUM(E$100:E122)=D$93,F122,D$93-SUM(E$100:E122))</f>
        <v>3589828.5710815331</v>
      </c>
      <c r="E123" s="510">
        <f t="shared" si="16"/>
        <v>309639.33333333331</v>
      </c>
      <c r="F123" s="511">
        <f t="shared" si="17"/>
        <v>3280189.2377481996</v>
      </c>
      <c r="G123" s="511">
        <f t="shared" si="18"/>
        <v>3435008.9044148661</v>
      </c>
      <c r="H123" s="524">
        <f t="shared" si="19"/>
        <v>680651.98614738649</v>
      </c>
      <c r="I123" s="573">
        <f t="shared" si="20"/>
        <v>680651.98614738649</v>
      </c>
      <c r="J123" s="505">
        <f t="shared" si="15"/>
        <v>0</v>
      </c>
      <c r="K123" s="505"/>
      <c r="L123" s="513"/>
      <c r="M123" s="505">
        <f t="shared" si="21"/>
        <v>0</v>
      </c>
      <c r="N123" s="513"/>
      <c r="O123" s="505">
        <f t="shared" si="13"/>
        <v>0</v>
      </c>
      <c r="P123" s="505">
        <f t="shared" si="14"/>
        <v>0</v>
      </c>
      <c r="Q123" s="244"/>
      <c r="R123" s="244"/>
      <c r="S123" s="244"/>
      <c r="T123" s="244"/>
      <c r="U123" s="244"/>
    </row>
    <row r="124" spans="2:21" ht="12.5">
      <c r="B124" s="145" t="str">
        <f t="shared" si="12"/>
        <v/>
      </c>
      <c r="C124" s="496">
        <f>IF(D94="","-",+C123+1)</f>
        <v>2038</v>
      </c>
      <c r="D124" s="350">
        <f>IF(F123+SUM(E$100:E123)=D$93,F123,D$93-SUM(E$100:E123))</f>
        <v>3280189.2377481996</v>
      </c>
      <c r="E124" s="510">
        <f t="shared" si="16"/>
        <v>309639.33333333331</v>
      </c>
      <c r="F124" s="511">
        <f t="shared" si="17"/>
        <v>2970549.9044148661</v>
      </c>
      <c r="G124" s="511">
        <f t="shared" si="18"/>
        <v>3125369.5710815331</v>
      </c>
      <c r="H124" s="524">
        <f t="shared" si="19"/>
        <v>647208.08143787493</v>
      </c>
      <c r="I124" s="573">
        <f t="shared" si="20"/>
        <v>647208.08143787493</v>
      </c>
      <c r="J124" s="505">
        <f t="shared" si="15"/>
        <v>0</v>
      </c>
      <c r="K124" s="505"/>
      <c r="L124" s="513"/>
      <c r="M124" s="505">
        <f t="shared" si="21"/>
        <v>0</v>
      </c>
      <c r="N124" s="513"/>
      <c r="O124" s="505">
        <f t="shared" si="13"/>
        <v>0</v>
      </c>
      <c r="P124" s="505">
        <f t="shared" si="14"/>
        <v>0</v>
      </c>
      <c r="Q124" s="244"/>
      <c r="R124" s="244"/>
      <c r="S124" s="244"/>
      <c r="T124" s="244"/>
      <c r="U124" s="244"/>
    </row>
    <row r="125" spans="2:21" ht="12.5">
      <c r="B125" s="145" t="str">
        <f t="shared" si="12"/>
        <v/>
      </c>
      <c r="C125" s="496">
        <f>IF(D94="","-",+C124+1)</f>
        <v>2039</v>
      </c>
      <c r="D125" s="350">
        <f>IF(F124+SUM(E$100:E124)=D$93,F124,D$93-SUM(E$100:E124))</f>
        <v>2970549.9044148661</v>
      </c>
      <c r="E125" s="510">
        <f t="shared" si="16"/>
        <v>309639.33333333331</v>
      </c>
      <c r="F125" s="511">
        <f t="shared" si="17"/>
        <v>2660910.5710815326</v>
      </c>
      <c r="G125" s="511">
        <f t="shared" si="18"/>
        <v>2815730.2377481991</v>
      </c>
      <c r="H125" s="524">
        <f t="shared" si="19"/>
        <v>613764.17672836315</v>
      </c>
      <c r="I125" s="573">
        <f t="shared" si="20"/>
        <v>613764.17672836315</v>
      </c>
      <c r="J125" s="505">
        <f t="shared" si="15"/>
        <v>0</v>
      </c>
      <c r="K125" s="505"/>
      <c r="L125" s="513"/>
      <c r="M125" s="505">
        <f t="shared" si="21"/>
        <v>0</v>
      </c>
      <c r="N125" s="513"/>
      <c r="O125" s="505">
        <f t="shared" si="13"/>
        <v>0</v>
      </c>
      <c r="P125" s="505">
        <f t="shared" si="14"/>
        <v>0</v>
      </c>
      <c r="Q125" s="244"/>
      <c r="R125" s="244"/>
      <c r="S125" s="244"/>
      <c r="T125" s="244"/>
      <c r="U125" s="244"/>
    </row>
    <row r="126" spans="2:21" ht="12.5">
      <c r="B126" s="145" t="str">
        <f t="shared" si="12"/>
        <v/>
      </c>
      <c r="C126" s="496">
        <f>IF(D94="","-",+C125+1)</f>
        <v>2040</v>
      </c>
      <c r="D126" s="350">
        <f>IF(F125+SUM(E$100:E125)=D$93,F125,D$93-SUM(E$100:E125))</f>
        <v>2660910.5710815326</v>
      </c>
      <c r="E126" s="510">
        <f t="shared" si="16"/>
        <v>309639.33333333331</v>
      </c>
      <c r="F126" s="511">
        <f t="shared" si="17"/>
        <v>2351271.2377481991</v>
      </c>
      <c r="G126" s="511">
        <f t="shared" si="18"/>
        <v>2506090.9044148661</v>
      </c>
      <c r="H126" s="524">
        <f t="shared" si="19"/>
        <v>580320.27201885148</v>
      </c>
      <c r="I126" s="573">
        <f t="shared" si="20"/>
        <v>580320.27201885148</v>
      </c>
      <c r="J126" s="505">
        <f t="shared" si="15"/>
        <v>0</v>
      </c>
      <c r="K126" s="505"/>
      <c r="L126" s="513"/>
      <c r="M126" s="505">
        <f t="shared" si="21"/>
        <v>0</v>
      </c>
      <c r="N126" s="513"/>
      <c r="O126" s="505">
        <f t="shared" si="13"/>
        <v>0</v>
      </c>
      <c r="P126" s="505">
        <f t="shared" si="14"/>
        <v>0</v>
      </c>
      <c r="Q126" s="244"/>
      <c r="R126" s="244"/>
      <c r="S126" s="244"/>
      <c r="T126" s="244"/>
      <c r="U126" s="244"/>
    </row>
    <row r="127" spans="2:21" ht="12.5">
      <c r="B127" s="145" t="str">
        <f t="shared" si="12"/>
        <v/>
      </c>
      <c r="C127" s="496">
        <f>IF(D94="","-",+C126+1)</f>
        <v>2041</v>
      </c>
      <c r="D127" s="350">
        <f>IF(F126+SUM(E$100:E126)=D$93,F126,D$93-SUM(E$100:E126))</f>
        <v>2351271.2377481991</v>
      </c>
      <c r="E127" s="510">
        <f t="shared" si="16"/>
        <v>309639.33333333331</v>
      </c>
      <c r="F127" s="511">
        <f t="shared" si="17"/>
        <v>2041631.9044148659</v>
      </c>
      <c r="G127" s="511">
        <f t="shared" si="18"/>
        <v>2196451.5710815326</v>
      </c>
      <c r="H127" s="524">
        <f t="shared" si="19"/>
        <v>546876.36730933981</v>
      </c>
      <c r="I127" s="573">
        <f t="shared" si="20"/>
        <v>546876.36730933981</v>
      </c>
      <c r="J127" s="505">
        <f t="shared" si="15"/>
        <v>0</v>
      </c>
      <c r="K127" s="505"/>
      <c r="L127" s="513"/>
      <c r="M127" s="505">
        <f t="shared" si="21"/>
        <v>0</v>
      </c>
      <c r="N127" s="513"/>
      <c r="O127" s="505">
        <f t="shared" si="13"/>
        <v>0</v>
      </c>
      <c r="P127" s="505">
        <f t="shared" si="14"/>
        <v>0</v>
      </c>
      <c r="Q127" s="244"/>
      <c r="R127" s="244"/>
      <c r="S127" s="244"/>
      <c r="T127" s="244"/>
      <c r="U127" s="244"/>
    </row>
    <row r="128" spans="2:21" ht="12.5">
      <c r="B128" s="145" t="str">
        <f t="shared" si="12"/>
        <v/>
      </c>
      <c r="C128" s="496">
        <f>IF(D94="","-",+C127+1)</f>
        <v>2042</v>
      </c>
      <c r="D128" s="350">
        <f>IF(F127+SUM(E$100:E127)=D$93,F127,D$93-SUM(E$100:E127))</f>
        <v>2041631.9044148659</v>
      </c>
      <c r="E128" s="510">
        <f t="shared" si="16"/>
        <v>309639.33333333331</v>
      </c>
      <c r="F128" s="511">
        <f t="shared" si="17"/>
        <v>1731992.5710815326</v>
      </c>
      <c r="G128" s="511">
        <f t="shared" si="18"/>
        <v>1886812.2377481991</v>
      </c>
      <c r="H128" s="524">
        <f t="shared" si="19"/>
        <v>513432.46259982814</v>
      </c>
      <c r="I128" s="573">
        <f t="shared" si="20"/>
        <v>513432.46259982814</v>
      </c>
      <c r="J128" s="505">
        <f t="shared" si="15"/>
        <v>0</v>
      </c>
      <c r="K128" s="505"/>
      <c r="L128" s="513"/>
      <c r="M128" s="505">
        <f t="shared" si="21"/>
        <v>0</v>
      </c>
      <c r="N128" s="513"/>
      <c r="O128" s="505">
        <f t="shared" si="13"/>
        <v>0</v>
      </c>
      <c r="P128" s="505">
        <f t="shared" si="14"/>
        <v>0</v>
      </c>
      <c r="Q128" s="244"/>
      <c r="R128" s="244"/>
      <c r="S128" s="244"/>
      <c r="T128" s="244"/>
      <c r="U128" s="244"/>
    </row>
    <row r="129" spans="2:21" ht="12.5">
      <c r="B129" s="145" t="str">
        <f t="shared" si="12"/>
        <v/>
      </c>
      <c r="C129" s="496">
        <f>IF(D94="","-",+C128+1)</f>
        <v>2043</v>
      </c>
      <c r="D129" s="350">
        <f>IF(F128+SUM(E$100:E128)=D$93,F128,D$93-SUM(E$100:E128))</f>
        <v>1731992.5710815326</v>
      </c>
      <c r="E129" s="510">
        <f t="shared" si="16"/>
        <v>309639.33333333331</v>
      </c>
      <c r="F129" s="511">
        <f t="shared" si="17"/>
        <v>1422353.2377481994</v>
      </c>
      <c r="G129" s="511">
        <f t="shared" si="18"/>
        <v>1577172.9044148661</v>
      </c>
      <c r="H129" s="524">
        <f t="shared" si="19"/>
        <v>479988.55789031647</v>
      </c>
      <c r="I129" s="573">
        <f t="shared" si="20"/>
        <v>479988.55789031647</v>
      </c>
      <c r="J129" s="505">
        <f t="shared" si="15"/>
        <v>0</v>
      </c>
      <c r="K129" s="505"/>
      <c r="L129" s="513"/>
      <c r="M129" s="505">
        <f t="shared" si="21"/>
        <v>0</v>
      </c>
      <c r="N129" s="513"/>
      <c r="O129" s="505">
        <f t="shared" si="13"/>
        <v>0</v>
      </c>
      <c r="P129" s="505">
        <f t="shared" si="14"/>
        <v>0</v>
      </c>
      <c r="Q129" s="244"/>
      <c r="R129" s="244"/>
      <c r="S129" s="244"/>
      <c r="T129" s="244"/>
      <c r="U129" s="244"/>
    </row>
    <row r="130" spans="2:21" ht="12.5">
      <c r="B130" s="145" t="str">
        <f t="shared" si="12"/>
        <v/>
      </c>
      <c r="C130" s="496">
        <f>IF(D94="","-",+C129+1)</f>
        <v>2044</v>
      </c>
      <c r="D130" s="350">
        <f>IF(F129+SUM(E$100:E129)=D$93,F129,D$93-SUM(E$100:E129))</f>
        <v>1422353.2377481994</v>
      </c>
      <c r="E130" s="510">
        <f t="shared" si="16"/>
        <v>309639.33333333331</v>
      </c>
      <c r="F130" s="511">
        <f t="shared" si="17"/>
        <v>1112713.9044148661</v>
      </c>
      <c r="G130" s="511">
        <f t="shared" si="18"/>
        <v>1267533.5710815326</v>
      </c>
      <c r="H130" s="524">
        <f t="shared" si="19"/>
        <v>446544.6531808048</v>
      </c>
      <c r="I130" s="573">
        <f t="shared" si="20"/>
        <v>446544.6531808048</v>
      </c>
      <c r="J130" s="505">
        <f t="shared" si="15"/>
        <v>0</v>
      </c>
      <c r="K130" s="505"/>
      <c r="L130" s="513"/>
      <c r="M130" s="505">
        <f t="shared" si="21"/>
        <v>0</v>
      </c>
      <c r="N130" s="513"/>
      <c r="O130" s="505">
        <f t="shared" si="13"/>
        <v>0</v>
      </c>
      <c r="P130" s="505">
        <f t="shared" si="14"/>
        <v>0</v>
      </c>
      <c r="Q130" s="244"/>
      <c r="R130" s="244"/>
      <c r="S130" s="244"/>
      <c r="T130" s="244"/>
      <c r="U130" s="244"/>
    </row>
    <row r="131" spans="2:21" ht="12.5">
      <c r="B131" s="145" t="str">
        <f t="shared" si="12"/>
        <v/>
      </c>
      <c r="C131" s="496">
        <f>IF(D94="","-",+C130+1)</f>
        <v>2045</v>
      </c>
      <c r="D131" s="350">
        <f>IF(F130+SUM(E$100:E130)=D$93,F130,D$93-SUM(E$100:E130))</f>
        <v>1112713.9044148661</v>
      </c>
      <c r="E131" s="510">
        <f t="shared" si="16"/>
        <v>309639.33333333331</v>
      </c>
      <c r="F131" s="511">
        <f t="shared" si="17"/>
        <v>803074.57108153286</v>
      </c>
      <c r="G131" s="511">
        <f t="shared" si="18"/>
        <v>957894.23774819949</v>
      </c>
      <c r="H131" s="524">
        <f t="shared" si="19"/>
        <v>413100.74847129313</v>
      </c>
      <c r="I131" s="573">
        <f t="shared" si="20"/>
        <v>413100.74847129313</v>
      </c>
      <c r="J131" s="505">
        <f t="shared" si="15"/>
        <v>0</v>
      </c>
      <c r="K131" s="505"/>
      <c r="L131" s="513"/>
      <c r="M131" s="505">
        <f t="shared" si="21"/>
        <v>0</v>
      </c>
      <c r="N131" s="513"/>
      <c r="O131" s="505">
        <f t="shared" si="13"/>
        <v>0</v>
      </c>
      <c r="P131" s="505">
        <f t="shared" si="14"/>
        <v>0</v>
      </c>
      <c r="Q131" s="244"/>
      <c r="R131" s="244"/>
      <c r="S131" s="244"/>
      <c r="T131" s="244"/>
      <c r="U131" s="244"/>
    </row>
    <row r="132" spans="2:21" ht="12.5">
      <c r="B132" s="145" t="str">
        <f t="shared" si="12"/>
        <v/>
      </c>
      <c r="C132" s="496">
        <f>IF(D94="","-",+C131+1)</f>
        <v>2046</v>
      </c>
      <c r="D132" s="350">
        <f>IF(F131+SUM(E$100:E131)=D$93,F131,D$93-SUM(E$100:E131))</f>
        <v>803074.57108153286</v>
      </c>
      <c r="E132" s="510">
        <f t="shared" si="16"/>
        <v>309639.33333333331</v>
      </c>
      <c r="F132" s="511">
        <f t="shared" si="17"/>
        <v>493435.23774819955</v>
      </c>
      <c r="G132" s="511">
        <f t="shared" si="18"/>
        <v>648254.90441486624</v>
      </c>
      <c r="H132" s="524">
        <f t="shared" si="19"/>
        <v>379656.84376178146</v>
      </c>
      <c r="I132" s="573">
        <f t="shared" si="20"/>
        <v>379656.84376178146</v>
      </c>
      <c r="J132" s="505">
        <f t="shared" si="15"/>
        <v>0</v>
      </c>
      <c r="K132" s="505"/>
      <c r="L132" s="513"/>
      <c r="M132" s="505">
        <f t="shared" ref="M132:M155" si="22">IF(L542&lt;&gt;0,+H542-L542,0)</f>
        <v>0</v>
      </c>
      <c r="N132" s="513"/>
      <c r="O132" s="505">
        <f t="shared" ref="O132:O155" si="23">IF(N542&lt;&gt;0,+I542-N542,0)</f>
        <v>0</v>
      </c>
      <c r="P132" s="505">
        <f t="shared" ref="P132:P155" si="24">+O542-M542</f>
        <v>0</v>
      </c>
      <c r="Q132" s="244"/>
      <c r="R132" s="244"/>
      <c r="S132" s="244"/>
      <c r="T132" s="244"/>
      <c r="U132" s="244"/>
    </row>
    <row r="133" spans="2:21" ht="12.5">
      <c r="B133" s="145" t="str">
        <f t="shared" si="12"/>
        <v/>
      </c>
      <c r="C133" s="496">
        <f>IF(D94="","-",+C132+1)</f>
        <v>2047</v>
      </c>
      <c r="D133" s="350">
        <f>IF(F132+SUM(E$100:E132)=D$93,F132,D$93-SUM(E$100:E132))</f>
        <v>493435.23774819955</v>
      </c>
      <c r="E133" s="510">
        <f t="shared" si="16"/>
        <v>309639.33333333331</v>
      </c>
      <c r="F133" s="511">
        <f t="shared" si="17"/>
        <v>183795.90441486624</v>
      </c>
      <c r="G133" s="511">
        <f t="shared" si="18"/>
        <v>338615.57108153286</v>
      </c>
      <c r="H133" s="524">
        <f t="shared" si="19"/>
        <v>346212.93905226974</v>
      </c>
      <c r="I133" s="573">
        <f t="shared" si="20"/>
        <v>346212.93905226974</v>
      </c>
      <c r="J133" s="505">
        <f t="shared" si="15"/>
        <v>0</v>
      </c>
      <c r="K133" s="505"/>
      <c r="L133" s="513"/>
      <c r="M133" s="505">
        <f t="shared" si="22"/>
        <v>0</v>
      </c>
      <c r="N133" s="513"/>
      <c r="O133" s="505">
        <f t="shared" si="23"/>
        <v>0</v>
      </c>
      <c r="P133" s="505">
        <f t="shared" si="24"/>
        <v>0</v>
      </c>
      <c r="Q133" s="244"/>
      <c r="R133" s="244"/>
      <c r="S133" s="244"/>
      <c r="T133" s="244"/>
      <c r="U133" s="244"/>
    </row>
    <row r="134" spans="2:21" ht="12.5">
      <c r="B134" s="145" t="str">
        <f t="shared" si="12"/>
        <v/>
      </c>
      <c r="C134" s="496">
        <f>IF(D94="","-",+C133+1)</f>
        <v>2048</v>
      </c>
      <c r="D134" s="350">
        <f>IF(F133+SUM(E$100:E133)=D$93,F133,D$93-SUM(E$100:E133))</f>
        <v>183795.90441486624</v>
      </c>
      <c r="E134" s="510">
        <f t="shared" si="16"/>
        <v>183795.90441486624</v>
      </c>
      <c r="F134" s="511">
        <f t="shared" si="17"/>
        <v>0</v>
      </c>
      <c r="G134" s="511">
        <f t="shared" si="18"/>
        <v>91897.952207433118</v>
      </c>
      <c r="H134" s="524">
        <f t="shared" si="19"/>
        <v>193721.73109695653</v>
      </c>
      <c r="I134" s="573">
        <f t="shared" si="20"/>
        <v>193721.73109695653</v>
      </c>
      <c r="J134" s="505">
        <f t="shared" si="15"/>
        <v>0</v>
      </c>
      <c r="K134" s="505"/>
      <c r="L134" s="513"/>
      <c r="M134" s="505">
        <f t="shared" si="22"/>
        <v>0</v>
      </c>
      <c r="N134" s="513"/>
      <c r="O134" s="505">
        <f t="shared" si="23"/>
        <v>0</v>
      </c>
      <c r="P134" s="505">
        <f t="shared" si="24"/>
        <v>0</v>
      </c>
      <c r="Q134" s="244"/>
      <c r="R134" s="244"/>
      <c r="S134" s="244"/>
      <c r="T134" s="244"/>
      <c r="U134" s="244"/>
    </row>
    <row r="135" spans="2:21" ht="12.5">
      <c r="B135" s="145" t="str">
        <f t="shared" si="12"/>
        <v/>
      </c>
      <c r="C135" s="496">
        <f>IF(D94="","-",+C134+1)</f>
        <v>2049</v>
      </c>
      <c r="D135" s="350">
        <f>IF(F134+SUM(E$100:E134)=D$93,F134,D$93-SUM(E$100:E134))</f>
        <v>0</v>
      </c>
      <c r="E135" s="510">
        <f t="shared" si="16"/>
        <v>0</v>
      </c>
      <c r="F135" s="511">
        <f t="shared" si="17"/>
        <v>0</v>
      </c>
      <c r="G135" s="511">
        <f t="shared" si="18"/>
        <v>0</v>
      </c>
      <c r="H135" s="524">
        <f t="shared" si="19"/>
        <v>0</v>
      </c>
      <c r="I135" s="573">
        <f t="shared" si="20"/>
        <v>0</v>
      </c>
      <c r="J135" s="505">
        <f t="shared" si="15"/>
        <v>0</v>
      </c>
      <c r="K135" s="505"/>
      <c r="L135" s="513"/>
      <c r="M135" s="505">
        <f t="shared" si="22"/>
        <v>0</v>
      </c>
      <c r="N135" s="513"/>
      <c r="O135" s="505">
        <f t="shared" si="23"/>
        <v>0</v>
      </c>
      <c r="P135" s="505">
        <f t="shared" si="24"/>
        <v>0</v>
      </c>
      <c r="Q135" s="244"/>
      <c r="R135" s="244"/>
      <c r="S135" s="244"/>
      <c r="T135" s="244"/>
      <c r="U135" s="244"/>
    </row>
    <row r="136" spans="2:21" ht="12.5">
      <c r="B136" s="145" t="str">
        <f t="shared" si="12"/>
        <v/>
      </c>
      <c r="C136" s="496">
        <f>IF(D94="","-",+C135+1)</f>
        <v>2050</v>
      </c>
      <c r="D136" s="350">
        <f>IF(F135+SUM(E$100:E135)=D$93,F135,D$93-SUM(E$100:E135))</f>
        <v>0</v>
      </c>
      <c r="E136" s="510">
        <f t="shared" si="16"/>
        <v>0</v>
      </c>
      <c r="F136" s="511">
        <f t="shared" si="17"/>
        <v>0</v>
      </c>
      <c r="G136" s="511">
        <f t="shared" si="18"/>
        <v>0</v>
      </c>
      <c r="H136" s="524">
        <f t="shared" si="19"/>
        <v>0</v>
      </c>
      <c r="I136" s="573">
        <f t="shared" si="20"/>
        <v>0</v>
      </c>
      <c r="J136" s="505">
        <f t="shared" si="15"/>
        <v>0</v>
      </c>
      <c r="K136" s="505"/>
      <c r="L136" s="513"/>
      <c r="M136" s="505">
        <f t="shared" si="22"/>
        <v>0</v>
      </c>
      <c r="N136" s="513"/>
      <c r="O136" s="505">
        <f t="shared" si="23"/>
        <v>0</v>
      </c>
      <c r="P136" s="505">
        <f t="shared" si="24"/>
        <v>0</v>
      </c>
      <c r="Q136" s="244"/>
      <c r="R136" s="244"/>
      <c r="S136" s="244"/>
      <c r="T136" s="244"/>
      <c r="U136" s="244"/>
    </row>
    <row r="137" spans="2:21" ht="12.5">
      <c r="B137" s="145" t="str">
        <f t="shared" si="12"/>
        <v/>
      </c>
      <c r="C137" s="496">
        <f>IF(D94="","-",+C136+1)</f>
        <v>2051</v>
      </c>
      <c r="D137" s="350">
        <f>IF(F136+SUM(E$100:E136)=D$93,F136,D$93-SUM(E$100:E136))</f>
        <v>0</v>
      </c>
      <c r="E137" s="510">
        <f t="shared" si="16"/>
        <v>0</v>
      </c>
      <c r="F137" s="511">
        <f t="shared" si="17"/>
        <v>0</v>
      </c>
      <c r="G137" s="511">
        <f t="shared" si="18"/>
        <v>0</v>
      </c>
      <c r="H137" s="524">
        <f t="shared" si="19"/>
        <v>0</v>
      </c>
      <c r="I137" s="573">
        <f t="shared" si="20"/>
        <v>0</v>
      </c>
      <c r="J137" s="505">
        <f t="shared" si="15"/>
        <v>0</v>
      </c>
      <c r="K137" s="505"/>
      <c r="L137" s="513"/>
      <c r="M137" s="505">
        <f t="shared" si="22"/>
        <v>0</v>
      </c>
      <c r="N137" s="513"/>
      <c r="O137" s="505">
        <f t="shared" si="23"/>
        <v>0</v>
      </c>
      <c r="P137" s="505">
        <f t="shared" si="24"/>
        <v>0</v>
      </c>
      <c r="Q137" s="244"/>
      <c r="R137" s="244"/>
      <c r="S137" s="244"/>
      <c r="T137" s="244"/>
      <c r="U137" s="244"/>
    </row>
    <row r="138" spans="2:21" ht="12.5">
      <c r="B138" s="145" t="str">
        <f t="shared" si="12"/>
        <v/>
      </c>
      <c r="C138" s="496">
        <f>IF(D94="","-",+C137+1)</f>
        <v>2052</v>
      </c>
      <c r="D138" s="350">
        <f>IF(F137+SUM(E$100:E137)=D$93,F137,D$93-SUM(E$100:E137))</f>
        <v>0</v>
      </c>
      <c r="E138" s="510">
        <f t="shared" si="16"/>
        <v>0</v>
      </c>
      <c r="F138" s="511">
        <f t="shared" si="17"/>
        <v>0</v>
      </c>
      <c r="G138" s="511">
        <f t="shared" si="18"/>
        <v>0</v>
      </c>
      <c r="H138" s="524">
        <f t="shared" si="19"/>
        <v>0</v>
      </c>
      <c r="I138" s="573">
        <f t="shared" si="20"/>
        <v>0</v>
      </c>
      <c r="J138" s="505">
        <f t="shared" si="15"/>
        <v>0</v>
      </c>
      <c r="K138" s="505"/>
      <c r="L138" s="513"/>
      <c r="M138" s="505">
        <f t="shared" si="22"/>
        <v>0</v>
      </c>
      <c r="N138" s="513"/>
      <c r="O138" s="505">
        <f t="shared" si="23"/>
        <v>0</v>
      </c>
      <c r="P138" s="505">
        <f t="shared" si="24"/>
        <v>0</v>
      </c>
      <c r="Q138" s="244"/>
      <c r="R138" s="244"/>
      <c r="S138" s="244"/>
      <c r="T138" s="244"/>
      <c r="U138" s="244"/>
    </row>
    <row r="139" spans="2:21" ht="12.5">
      <c r="B139" s="145" t="str">
        <f t="shared" si="12"/>
        <v/>
      </c>
      <c r="C139" s="496">
        <f>IF(D94="","-",+C138+1)</f>
        <v>2053</v>
      </c>
      <c r="D139" s="350">
        <f>IF(F138+SUM(E$100:E138)=D$93,F138,D$93-SUM(E$100:E138))</f>
        <v>0</v>
      </c>
      <c r="E139" s="510">
        <f t="shared" si="16"/>
        <v>0</v>
      </c>
      <c r="F139" s="511">
        <f t="shared" si="17"/>
        <v>0</v>
      </c>
      <c r="G139" s="511">
        <f t="shared" si="18"/>
        <v>0</v>
      </c>
      <c r="H139" s="524">
        <f t="shared" si="19"/>
        <v>0</v>
      </c>
      <c r="I139" s="573">
        <f t="shared" si="20"/>
        <v>0</v>
      </c>
      <c r="J139" s="505">
        <f t="shared" si="15"/>
        <v>0</v>
      </c>
      <c r="K139" s="505"/>
      <c r="L139" s="513"/>
      <c r="M139" s="505">
        <f t="shared" si="22"/>
        <v>0</v>
      </c>
      <c r="N139" s="513"/>
      <c r="O139" s="505">
        <f t="shared" si="23"/>
        <v>0</v>
      </c>
      <c r="P139" s="505">
        <f t="shared" si="24"/>
        <v>0</v>
      </c>
      <c r="Q139" s="244"/>
      <c r="R139" s="244"/>
      <c r="S139" s="244"/>
      <c r="T139" s="244"/>
      <c r="U139" s="244"/>
    </row>
    <row r="140" spans="2:21" ht="12.5">
      <c r="B140" s="145" t="str">
        <f t="shared" si="12"/>
        <v/>
      </c>
      <c r="C140" s="496">
        <f>IF(D94="","-",+C139+1)</f>
        <v>2054</v>
      </c>
      <c r="D140" s="350">
        <f>IF(F139+SUM(E$100:E139)=D$93,F139,D$93-SUM(E$100:E139))</f>
        <v>0</v>
      </c>
      <c r="E140" s="510">
        <f t="shared" si="16"/>
        <v>0</v>
      </c>
      <c r="F140" s="511">
        <f t="shared" si="17"/>
        <v>0</v>
      </c>
      <c r="G140" s="511">
        <f t="shared" si="18"/>
        <v>0</v>
      </c>
      <c r="H140" s="524">
        <f t="shared" si="19"/>
        <v>0</v>
      </c>
      <c r="I140" s="573">
        <f t="shared" si="20"/>
        <v>0</v>
      </c>
      <c r="J140" s="505">
        <f t="shared" si="15"/>
        <v>0</v>
      </c>
      <c r="K140" s="505"/>
      <c r="L140" s="513"/>
      <c r="M140" s="505">
        <f t="shared" si="22"/>
        <v>0</v>
      </c>
      <c r="N140" s="513"/>
      <c r="O140" s="505">
        <f t="shared" si="23"/>
        <v>0</v>
      </c>
      <c r="P140" s="505">
        <f t="shared" si="24"/>
        <v>0</v>
      </c>
      <c r="Q140" s="244"/>
      <c r="R140" s="244"/>
      <c r="S140" s="244"/>
      <c r="T140" s="244"/>
      <c r="U140" s="244"/>
    </row>
    <row r="141" spans="2:21" ht="12.5">
      <c r="B141" s="145" t="str">
        <f t="shared" si="12"/>
        <v/>
      </c>
      <c r="C141" s="496">
        <f>IF(D94="","-",+C140+1)</f>
        <v>2055</v>
      </c>
      <c r="D141" s="350">
        <f>IF(F140+SUM(E$100:E140)=D$93,F140,D$93-SUM(E$100:E140))</f>
        <v>0</v>
      </c>
      <c r="E141" s="510">
        <f t="shared" si="16"/>
        <v>0</v>
      </c>
      <c r="F141" s="511">
        <f t="shared" si="17"/>
        <v>0</v>
      </c>
      <c r="G141" s="511">
        <f t="shared" si="18"/>
        <v>0</v>
      </c>
      <c r="H141" s="524">
        <f t="shared" si="19"/>
        <v>0</v>
      </c>
      <c r="I141" s="573">
        <f t="shared" si="20"/>
        <v>0</v>
      </c>
      <c r="J141" s="505">
        <f t="shared" si="15"/>
        <v>0</v>
      </c>
      <c r="K141" s="505"/>
      <c r="L141" s="513"/>
      <c r="M141" s="505">
        <f t="shared" si="22"/>
        <v>0</v>
      </c>
      <c r="N141" s="513"/>
      <c r="O141" s="505">
        <f t="shared" si="23"/>
        <v>0</v>
      </c>
      <c r="P141" s="505">
        <f t="shared" si="24"/>
        <v>0</v>
      </c>
      <c r="Q141" s="244"/>
      <c r="R141" s="244"/>
      <c r="S141" s="244"/>
      <c r="T141" s="244"/>
      <c r="U141" s="244"/>
    </row>
    <row r="142" spans="2:21" ht="12.5">
      <c r="B142" s="145" t="str">
        <f t="shared" si="12"/>
        <v/>
      </c>
      <c r="C142" s="496">
        <f>IF(D94="","-",+C141+1)</f>
        <v>2056</v>
      </c>
      <c r="D142" s="350">
        <f>IF(F141+SUM(E$100:E141)=D$93,F141,D$93-SUM(E$100:E141))</f>
        <v>0</v>
      </c>
      <c r="E142" s="510">
        <f t="shared" si="16"/>
        <v>0</v>
      </c>
      <c r="F142" s="511">
        <f t="shared" si="17"/>
        <v>0</v>
      </c>
      <c r="G142" s="511">
        <f t="shared" si="18"/>
        <v>0</v>
      </c>
      <c r="H142" s="524">
        <f t="shared" si="19"/>
        <v>0</v>
      </c>
      <c r="I142" s="573">
        <f t="shared" si="20"/>
        <v>0</v>
      </c>
      <c r="J142" s="505">
        <f t="shared" si="15"/>
        <v>0</v>
      </c>
      <c r="K142" s="505"/>
      <c r="L142" s="513"/>
      <c r="M142" s="505">
        <f t="shared" si="22"/>
        <v>0</v>
      </c>
      <c r="N142" s="513"/>
      <c r="O142" s="505">
        <f t="shared" si="23"/>
        <v>0</v>
      </c>
      <c r="P142" s="505">
        <f t="shared" si="24"/>
        <v>0</v>
      </c>
      <c r="Q142" s="244"/>
      <c r="R142" s="244"/>
      <c r="S142" s="244"/>
      <c r="T142" s="244"/>
      <c r="U142" s="244"/>
    </row>
    <row r="143" spans="2:21" ht="12.5">
      <c r="B143" s="145" t="str">
        <f t="shared" si="12"/>
        <v/>
      </c>
      <c r="C143" s="496">
        <f>IF(D94="","-",+C142+1)</f>
        <v>2057</v>
      </c>
      <c r="D143" s="350">
        <f>IF(F142+SUM(E$100:E142)=D$93,F142,D$93-SUM(E$100:E142))</f>
        <v>0</v>
      </c>
      <c r="E143" s="510">
        <f t="shared" si="16"/>
        <v>0</v>
      </c>
      <c r="F143" s="511">
        <f t="shared" si="17"/>
        <v>0</v>
      </c>
      <c r="G143" s="511">
        <f t="shared" si="18"/>
        <v>0</v>
      </c>
      <c r="H143" s="524">
        <f t="shared" si="19"/>
        <v>0</v>
      </c>
      <c r="I143" s="573">
        <f t="shared" si="20"/>
        <v>0</v>
      </c>
      <c r="J143" s="505">
        <f t="shared" si="15"/>
        <v>0</v>
      </c>
      <c r="K143" s="505"/>
      <c r="L143" s="513"/>
      <c r="M143" s="505">
        <f t="shared" si="22"/>
        <v>0</v>
      </c>
      <c r="N143" s="513"/>
      <c r="O143" s="505">
        <f t="shared" si="23"/>
        <v>0</v>
      </c>
      <c r="P143" s="505">
        <f t="shared" si="24"/>
        <v>0</v>
      </c>
      <c r="Q143" s="244"/>
      <c r="R143" s="244"/>
      <c r="S143" s="244"/>
      <c r="T143" s="244"/>
      <c r="U143" s="244"/>
    </row>
    <row r="144" spans="2:21" ht="12.5">
      <c r="B144" s="145" t="str">
        <f t="shared" si="12"/>
        <v/>
      </c>
      <c r="C144" s="496">
        <f>IF(D94="","-",+C143+1)</f>
        <v>2058</v>
      </c>
      <c r="D144" s="350">
        <f>IF(F143+SUM(E$100:E143)=D$93,F143,D$93-SUM(E$100:E143))</f>
        <v>0</v>
      </c>
      <c r="E144" s="510">
        <f t="shared" si="16"/>
        <v>0</v>
      </c>
      <c r="F144" s="511">
        <f t="shared" si="17"/>
        <v>0</v>
      </c>
      <c r="G144" s="511">
        <f t="shared" si="18"/>
        <v>0</v>
      </c>
      <c r="H144" s="524">
        <f t="shared" si="19"/>
        <v>0</v>
      </c>
      <c r="I144" s="573">
        <f t="shared" si="20"/>
        <v>0</v>
      </c>
      <c r="J144" s="505">
        <f t="shared" si="15"/>
        <v>0</v>
      </c>
      <c r="K144" s="505"/>
      <c r="L144" s="513"/>
      <c r="M144" s="505">
        <f t="shared" si="22"/>
        <v>0</v>
      </c>
      <c r="N144" s="513"/>
      <c r="O144" s="505">
        <f t="shared" si="23"/>
        <v>0</v>
      </c>
      <c r="P144" s="505">
        <f t="shared" si="24"/>
        <v>0</v>
      </c>
      <c r="Q144" s="244"/>
      <c r="R144" s="244"/>
      <c r="S144" s="244"/>
      <c r="T144" s="244"/>
      <c r="U144" s="244"/>
    </row>
    <row r="145" spans="2:21" ht="12.5">
      <c r="B145" s="145" t="str">
        <f t="shared" si="12"/>
        <v/>
      </c>
      <c r="C145" s="496">
        <f>IF(D94="","-",+C144+1)</f>
        <v>2059</v>
      </c>
      <c r="D145" s="350">
        <f>IF(F144+SUM(E$100:E144)=D$93,F144,D$93-SUM(E$100:E144))</f>
        <v>0</v>
      </c>
      <c r="E145" s="510">
        <f t="shared" si="16"/>
        <v>0</v>
      </c>
      <c r="F145" s="511">
        <f t="shared" si="17"/>
        <v>0</v>
      </c>
      <c r="G145" s="511">
        <f t="shared" si="18"/>
        <v>0</v>
      </c>
      <c r="H145" s="524">
        <f t="shared" si="19"/>
        <v>0</v>
      </c>
      <c r="I145" s="573">
        <f t="shared" si="20"/>
        <v>0</v>
      </c>
      <c r="J145" s="505">
        <f t="shared" si="15"/>
        <v>0</v>
      </c>
      <c r="K145" s="505"/>
      <c r="L145" s="513"/>
      <c r="M145" s="505">
        <f t="shared" si="22"/>
        <v>0</v>
      </c>
      <c r="N145" s="513"/>
      <c r="O145" s="505">
        <f t="shared" si="23"/>
        <v>0</v>
      </c>
      <c r="P145" s="505">
        <f t="shared" si="24"/>
        <v>0</v>
      </c>
      <c r="Q145" s="244"/>
      <c r="R145" s="244"/>
      <c r="S145" s="244"/>
      <c r="T145" s="244"/>
      <c r="U145" s="244"/>
    </row>
    <row r="146" spans="2:21" ht="12.5">
      <c r="B146" s="145" t="str">
        <f t="shared" si="12"/>
        <v/>
      </c>
      <c r="C146" s="496">
        <f>IF(D94="","-",+C145+1)</f>
        <v>2060</v>
      </c>
      <c r="D146" s="350">
        <f>IF(F145+SUM(E$100:E145)=D$93,F145,D$93-SUM(E$100:E145))</f>
        <v>0</v>
      </c>
      <c r="E146" s="510">
        <f t="shared" si="16"/>
        <v>0</v>
      </c>
      <c r="F146" s="511">
        <f t="shared" si="17"/>
        <v>0</v>
      </c>
      <c r="G146" s="511">
        <f t="shared" si="18"/>
        <v>0</v>
      </c>
      <c r="H146" s="524">
        <f t="shared" si="19"/>
        <v>0</v>
      </c>
      <c r="I146" s="573">
        <f t="shared" si="20"/>
        <v>0</v>
      </c>
      <c r="J146" s="505">
        <f t="shared" si="15"/>
        <v>0</v>
      </c>
      <c r="K146" s="505"/>
      <c r="L146" s="513"/>
      <c r="M146" s="505">
        <f t="shared" si="22"/>
        <v>0</v>
      </c>
      <c r="N146" s="513"/>
      <c r="O146" s="505">
        <f t="shared" si="23"/>
        <v>0</v>
      </c>
      <c r="P146" s="505">
        <f t="shared" si="24"/>
        <v>0</v>
      </c>
      <c r="Q146" s="244"/>
      <c r="R146" s="244"/>
      <c r="S146" s="244"/>
      <c r="T146" s="244"/>
      <c r="U146" s="244"/>
    </row>
    <row r="147" spans="2:21" ht="12.5">
      <c r="B147" s="145" t="str">
        <f t="shared" si="12"/>
        <v/>
      </c>
      <c r="C147" s="496">
        <f>IF(D94="","-",+C146+1)</f>
        <v>2061</v>
      </c>
      <c r="D147" s="350">
        <f>IF(F146+SUM(E$100:E146)=D$93,F146,D$93-SUM(E$100:E146))</f>
        <v>0</v>
      </c>
      <c r="E147" s="510">
        <f t="shared" si="16"/>
        <v>0</v>
      </c>
      <c r="F147" s="511">
        <f t="shared" si="17"/>
        <v>0</v>
      </c>
      <c r="G147" s="511">
        <f t="shared" si="18"/>
        <v>0</v>
      </c>
      <c r="H147" s="524">
        <f t="shared" si="19"/>
        <v>0</v>
      </c>
      <c r="I147" s="573">
        <f t="shared" si="20"/>
        <v>0</v>
      </c>
      <c r="J147" s="505">
        <f t="shared" si="15"/>
        <v>0</v>
      </c>
      <c r="K147" s="505"/>
      <c r="L147" s="513"/>
      <c r="M147" s="505">
        <f t="shared" si="22"/>
        <v>0</v>
      </c>
      <c r="N147" s="513"/>
      <c r="O147" s="505">
        <f t="shared" si="23"/>
        <v>0</v>
      </c>
      <c r="P147" s="505">
        <f t="shared" si="24"/>
        <v>0</v>
      </c>
      <c r="Q147" s="244"/>
      <c r="R147" s="244"/>
      <c r="S147" s="244"/>
      <c r="T147" s="244"/>
      <c r="U147" s="244"/>
    </row>
    <row r="148" spans="2:21" ht="12.5">
      <c r="B148" s="145" t="str">
        <f t="shared" si="12"/>
        <v/>
      </c>
      <c r="C148" s="496">
        <f>IF(D94="","-",+C147+1)</f>
        <v>2062</v>
      </c>
      <c r="D148" s="350">
        <f>IF(F147+SUM(E$100:E147)=D$93,F147,D$93-SUM(E$100:E147))</f>
        <v>0</v>
      </c>
      <c r="E148" s="510">
        <f t="shared" si="16"/>
        <v>0</v>
      </c>
      <c r="F148" s="511">
        <f t="shared" si="17"/>
        <v>0</v>
      </c>
      <c r="G148" s="511">
        <f t="shared" si="18"/>
        <v>0</v>
      </c>
      <c r="H148" s="524">
        <f t="shared" si="19"/>
        <v>0</v>
      </c>
      <c r="I148" s="573">
        <f t="shared" si="20"/>
        <v>0</v>
      </c>
      <c r="J148" s="505">
        <f t="shared" si="15"/>
        <v>0</v>
      </c>
      <c r="K148" s="505"/>
      <c r="L148" s="513"/>
      <c r="M148" s="505">
        <f t="shared" si="22"/>
        <v>0</v>
      </c>
      <c r="N148" s="513"/>
      <c r="O148" s="505">
        <f t="shared" si="23"/>
        <v>0</v>
      </c>
      <c r="P148" s="505">
        <f t="shared" si="24"/>
        <v>0</v>
      </c>
      <c r="Q148" s="244"/>
      <c r="R148" s="244"/>
      <c r="S148" s="244"/>
      <c r="T148" s="244"/>
      <c r="U148" s="244"/>
    </row>
    <row r="149" spans="2:21" ht="12.5">
      <c r="B149" s="145" t="str">
        <f t="shared" si="12"/>
        <v/>
      </c>
      <c r="C149" s="496">
        <f>IF(D94="","-",+C148+1)</f>
        <v>2063</v>
      </c>
      <c r="D149" s="350">
        <f>IF(F148+SUM(E$100:E148)=D$93,F148,D$93-SUM(E$100:E148))</f>
        <v>0</v>
      </c>
      <c r="E149" s="510">
        <f t="shared" si="16"/>
        <v>0</v>
      </c>
      <c r="F149" s="511">
        <f t="shared" si="17"/>
        <v>0</v>
      </c>
      <c r="G149" s="511">
        <f t="shared" si="18"/>
        <v>0</v>
      </c>
      <c r="H149" s="524">
        <f t="shared" si="19"/>
        <v>0</v>
      </c>
      <c r="I149" s="573">
        <f t="shared" si="20"/>
        <v>0</v>
      </c>
      <c r="J149" s="505">
        <f t="shared" si="15"/>
        <v>0</v>
      </c>
      <c r="K149" s="505"/>
      <c r="L149" s="513"/>
      <c r="M149" s="505">
        <f t="shared" si="22"/>
        <v>0</v>
      </c>
      <c r="N149" s="513"/>
      <c r="O149" s="505">
        <f t="shared" si="23"/>
        <v>0</v>
      </c>
      <c r="P149" s="505">
        <f t="shared" si="24"/>
        <v>0</v>
      </c>
      <c r="Q149" s="244"/>
      <c r="R149" s="244"/>
      <c r="S149" s="244"/>
      <c r="T149" s="244"/>
      <c r="U149" s="244"/>
    </row>
    <row r="150" spans="2:21" ht="12.5">
      <c r="B150" s="145" t="str">
        <f t="shared" si="12"/>
        <v/>
      </c>
      <c r="C150" s="496">
        <f>IF(D94="","-",+C149+1)</f>
        <v>2064</v>
      </c>
      <c r="D150" s="350">
        <f>IF(F149+SUM(E$100:E149)=D$93,F149,D$93-SUM(E$100:E149))</f>
        <v>0</v>
      </c>
      <c r="E150" s="510">
        <f t="shared" si="16"/>
        <v>0</v>
      </c>
      <c r="F150" s="511">
        <f t="shared" si="17"/>
        <v>0</v>
      </c>
      <c r="G150" s="511">
        <f t="shared" si="18"/>
        <v>0</v>
      </c>
      <c r="H150" s="524">
        <f t="shared" si="19"/>
        <v>0</v>
      </c>
      <c r="I150" s="573">
        <f t="shared" si="20"/>
        <v>0</v>
      </c>
      <c r="J150" s="505">
        <f t="shared" si="15"/>
        <v>0</v>
      </c>
      <c r="K150" s="505"/>
      <c r="L150" s="513"/>
      <c r="M150" s="505">
        <f t="shared" si="22"/>
        <v>0</v>
      </c>
      <c r="N150" s="513"/>
      <c r="O150" s="505">
        <f t="shared" si="23"/>
        <v>0</v>
      </c>
      <c r="P150" s="505">
        <f t="shared" si="24"/>
        <v>0</v>
      </c>
      <c r="Q150" s="244"/>
      <c r="R150" s="244"/>
      <c r="S150" s="244"/>
      <c r="T150" s="244"/>
      <c r="U150" s="244"/>
    </row>
    <row r="151" spans="2:21" ht="12.5">
      <c r="B151" s="145" t="str">
        <f t="shared" si="12"/>
        <v/>
      </c>
      <c r="C151" s="496">
        <f>IF(D94="","-",+C150+1)</f>
        <v>2065</v>
      </c>
      <c r="D151" s="350">
        <f>IF(F150+SUM(E$100:E150)=D$93,F150,D$93-SUM(E$100:E150))</f>
        <v>0</v>
      </c>
      <c r="E151" s="510">
        <f t="shared" si="16"/>
        <v>0</v>
      </c>
      <c r="F151" s="511">
        <f t="shared" si="17"/>
        <v>0</v>
      </c>
      <c r="G151" s="511">
        <f t="shared" si="18"/>
        <v>0</v>
      </c>
      <c r="H151" s="524">
        <f t="shared" si="19"/>
        <v>0</v>
      </c>
      <c r="I151" s="573">
        <f t="shared" si="20"/>
        <v>0</v>
      </c>
      <c r="J151" s="505">
        <f t="shared" si="15"/>
        <v>0</v>
      </c>
      <c r="K151" s="505"/>
      <c r="L151" s="513"/>
      <c r="M151" s="505">
        <f t="shared" si="22"/>
        <v>0</v>
      </c>
      <c r="N151" s="513"/>
      <c r="O151" s="505">
        <f t="shared" si="23"/>
        <v>0</v>
      </c>
      <c r="P151" s="505">
        <f t="shared" si="24"/>
        <v>0</v>
      </c>
      <c r="Q151" s="244"/>
      <c r="R151" s="244"/>
      <c r="S151" s="244"/>
      <c r="T151" s="244"/>
      <c r="U151" s="244"/>
    </row>
    <row r="152" spans="2:21" ht="12.5">
      <c r="B152" s="145" t="str">
        <f t="shared" si="12"/>
        <v/>
      </c>
      <c r="C152" s="496">
        <f>IF(D94="","-",+C151+1)</f>
        <v>2066</v>
      </c>
      <c r="D152" s="350">
        <f>IF(F151+SUM(E$100:E151)=D$93,F151,D$93-SUM(E$100:E151))</f>
        <v>0</v>
      </c>
      <c r="E152" s="510">
        <f t="shared" si="16"/>
        <v>0</v>
      </c>
      <c r="F152" s="511">
        <f t="shared" si="17"/>
        <v>0</v>
      </c>
      <c r="G152" s="511">
        <f t="shared" si="18"/>
        <v>0</v>
      </c>
      <c r="H152" s="524">
        <f t="shared" si="19"/>
        <v>0</v>
      </c>
      <c r="I152" s="573">
        <f t="shared" si="20"/>
        <v>0</v>
      </c>
      <c r="J152" s="505">
        <f t="shared" si="15"/>
        <v>0</v>
      </c>
      <c r="K152" s="505"/>
      <c r="L152" s="513"/>
      <c r="M152" s="505">
        <f t="shared" si="22"/>
        <v>0</v>
      </c>
      <c r="N152" s="513"/>
      <c r="O152" s="505">
        <f t="shared" si="23"/>
        <v>0</v>
      </c>
      <c r="P152" s="505">
        <f t="shared" si="24"/>
        <v>0</v>
      </c>
      <c r="Q152" s="244"/>
      <c r="R152" s="244"/>
      <c r="S152" s="244"/>
      <c r="T152" s="244"/>
      <c r="U152" s="244"/>
    </row>
    <row r="153" spans="2:21" ht="12.5">
      <c r="B153" s="145" t="str">
        <f t="shared" si="12"/>
        <v/>
      </c>
      <c r="C153" s="496">
        <f>IF(D94="","-",+C152+1)</f>
        <v>2067</v>
      </c>
      <c r="D153" s="350">
        <f>IF(F152+SUM(E$100:E152)=D$93,F152,D$93-SUM(E$100:E152))</f>
        <v>0</v>
      </c>
      <c r="E153" s="510">
        <f t="shared" si="16"/>
        <v>0</v>
      </c>
      <c r="F153" s="511">
        <f t="shared" si="17"/>
        <v>0</v>
      </c>
      <c r="G153" s="511">
        <f t="shared" si="18"/>
        <v>0</v>
      </c>
      <c r="H153" s="524">
        <f t="shared" si="19"/>
        <v>0</v>
      </c>
      <c r="I153" s="573">
        <f t="shared" si="20"/>
        <v>0</v>
      </c>
      <c r="J153" s="505">
        <f t="shared" si="15"/>
        <v>0</v>
      </c>
      <c r="K153" s="505"/>
      <c r="L153" s="513"/>
      <c r="M153" s="505">
        <f t="shared" si="22"/>
        <v>0</v>
      </c>
      <c r="N153" s="513"/>
      <c r="O153" s="505">
        <f t="shared" si="23"/>
        <v>0</v>
      </c>
      <c r="P153" s="505">
        <f t="shared" si="24"/>
        <v>0</v>
      </c>
      <c r="Q153" s="244"/>
      <c r="R153" s="244"/>
      <c r="S153" s="244"/>
      <c r="T153" s="244"/>
      <c r="U153" s="244"/>
    </row>
    <row r="154" spans="2:21" ht="12.5">
      <c r="B154" s="145" t="str">
        <f t="shared" si="12"/>
        <v/>
      </c>
      <c r="C154" s="496">
        <f>IF(D94="","-",+C153+1)</f>
        <v>2068</v>
      </c>
      <c r="D154" s="350">
        <f>IF(F153+SUM(E$100:E153)=D$93,F153,D$93-SUM(E$100:E153))</f>
        <v>0</v>
      </c>
      <c r="E154" s="510">
        <f t="shared" si="16"/>
        <v>0</v>
      </c>
      <c r="F154" s="511">
        <f t="shared" si="17"/>
        <v>0</v>
      </c>
      <c r="G154" s="511">
        <f t="shared" si="18"/>
        <v>0</v>
      </c>
      <c r="H154" s="524">
        <f t="shared" si="19"/>
        <v>0</v>
      </c>
      <c r="I154" s="573">
        <f t="shared" si="20"/>
        <v>0</v>
      </c>
      <c r="J154" s="505">
        <f t="shared" si="15"/>
        <v>0</v>
      </c>
      <c r="K154" s="505"/>
      <c r="L154" s="513"/>
      <c r="M154" s="505">
        <f t="shared" si="22"/>
        <v>0</v>
      </c>
      <c r="N154" s="513"/>
      <c r="O154" s="505">
        <f t="shared" si="23"/>
        <v>0</v>
      </c>
      <c r="P154" s="505">
        <f t="shared" si="24"/>
        <v>0</v>
      </c>
      <c r="Q154" s="244"/>
      <c r="R154" s="244"/>
      <c r="S154" s="244"/>
      <c r="T154" s="244"/>
      <c r="U154" s="244"/>
    </row>
    <row r="155" spans="2:21" ht="13" thickBot="1">
      <c r="B155" s="145" t="str">
        <f t="shared" si="12"/>
        <v/>
      </c>
      <c r="C155" s="525">
        <f>IF(D94="","-",+C154+1)</f>
        <v>2069</v>
      </c>
      <c r="D155" s="619">
        <f>IF(F154+SUM(E$100:E154)=D$93,F154,D$93-SUM(E$100:E154))</f>
        <v>0</v>
      </c>
      <c r="E155" s="527">
        <f t="shared" si="16"/>
        <v>0</v>
      </c>
      <c r="F155" s="528">
        <f t="shared" si="17"/>
        <v>0</v>
      </c>
      <c r="G155" s="528">
        <f t="shared" si="18"/>
        <v>0</v>
      </c>
      <c r="H155" s="529">
        <f t="shared" si="19"/>
        <v>0</v>
      </c>
      <c r="I155" s="574">
        <f t="shared" si="20"/>
        <v>0</v>
      </c>
      <c r="J155" s="532">
        <f t="shared" si="15"/>
        <v>0</v>
      </c>
      <c r="K155" s="505"/>
      <c r="L155" s="531"/>
      <c r="M155" s="532">
        <f t="shared" si="22"/>
        <v>0</v>
      </c>
      <c r="N155" s="531"/>
      <c r="O155" s="532">
        <f t="shared" si="23"/>
        <v>0</v>
      </c>
      <c r="P155" s="532">
        <f t="shared" si="24"/>
        <v>0</v>
      </c>
      <c r="Q155" s="244"/>
      <c r="R155" s="244"/>
      <c r="S155" s="244"/>
      <c r="T155" s="244"/>
      <c r="U155" s="244"/>
    </row>
    <row r="156" spans="2:21" ht="12.5">
      <c r="C156" s="350" t="s">
        <v>75</v>
      </c>
      <c r="D156" s="295"/>
      <c r="E156" s="295">
        <f>SUM(E100:E155)</f>
        <v>10218098.000000002</v>
      </c>
      <c r="F156" s="295"/>
      <c r="G156" s="295"/>
      <c r="H156" s="295">
        <f>SUM(H100:H155)</f>
        <v>29690442.924718633</v>
      </c>
      <c r="I156" s="295">
        <f>SUM(I100:I155)</f>
        <v>29690442.924718633</v>
      </c>
      <c r="J156" s="295">
        <f>SUM(J100:J155)</f>
        <v>0</v>
      </c>
      <c r="K156" s="295"/>
      <c r="L156" s="295"/>
      <c r="M156" s="295"/>
      <c r="N156" s="295"/>
      <c r="O156" s="295"/>
      <c r="P156" s="244"/>
      <c r="Q156" s="244"/>
      <c r="R156" s="244"/>
      <c r="S156" s="244"/>
      <c r="T156" s="244"/>
      <c r="U156" s="244"/>
    </row>
    <row r="157" spans="2:21" ht="12.5">
      <c r="C157" s="145" t="s">
        <v>90</v>
      </c>
      <c r="D157" s="293"/>
      <c r="E157" s="244"/>
      <c r="F157" s="244"/>
      <c r="G157" s="244"/>
      <c r="H157" s="244"/>
      <c r="I157" s="326"/>
      <c r="J157" s="326"/>
      <c r="K157" s="295"/>
      <c r="L157" s="326"/>
      <c r="M157" s="326"/>
      <c r="N157" s="326"/>
      <c r="O157" s="326"/>
      <c r="P157" s="244"/>
      <c r="Q157" s="244"/>
      <c r="R157" s="244"/>
      <c r="S157" s="244"/>
      <c r="T157" s="244"/>
      <c r="U157" s="244"/>
    </row>
    <row r="158" spans="2:21" ht="12.5">
      <c r="C158" s="575"/>
      <c r="D158" s="293"/>
      <c r="E158" s="244"/>
      <c r="F158" s="244"/>
      <c r="G158" s="244"/>
      <c r="H158" s="244"/>
      <c r="I158" s="326"/>
      <c r="J158" s="326"/>
      <c r="K158" s="295"/>
      <c r="L158" s="326"/>
      <c r="M158" s="326"/>
      <c r="N158" s="326"/>
      <c r="O158" s="326"/>
      <c r="P158" s="244"/>
      <c r="Q158" s="244"/>
      <c r="R158" s="244"/>
      <c r="S158" s="244"/>
      <c r="T158" s="244"/>
      <c r="U158" s="244"/>
    </row>
    <row r="159" spans="2:21" ht="13">
      <c r="C159" s="620" t="s">
        <v>130</v>
      </c>
      <c r="D159" s="293"/>
      <c r="E159" s="244"/>
      <c r="F159" s="244"/>
      <c r="G159" s="244"/>
      <c r="H159" s="244"/>
      <c r="I159" s="326"/>
      <c r="J159" s="326"/>
      <c r="K159" s="295"/>
      <c r="L159" s="326"/>
      <c r="M159" s="326"/>
      <c r="N159" s="326"/>
      <c r="O159" s="326"/>
      <c r="P159" s="244"/>
      <c r="Q159" s="244"/>
      <c r="R159" s="244"/>
      <c r="S159" s="244"/>
      <c r="T159" s="244"/>
      <c r="U159" s="244"/>
    </row>
    <row r="160" spans="2:21" ht="13">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ht="13">
      <c r="C162" s="576"/>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35" priority="1" stopIfTrue="1" operator="equal">
      <formula>$I$10</formula>
    </cfRule>
  </conditionalFormatting>
  <conditionalFormatting sqref="C100:C155">
    <cfRule type="cellIs" dxfId="34"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U163"/>
  <sheetViews>
    <sheetView view="pageBreakPreview" zoomScale="78" zoomScaleNormal="100" zoomScaleSheetLayoutView="78" workbookViewId="0">
      <selection activeCell="D10" sqref="D10"/>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"&amp;RIGHT(MID(CELL("filename",$A$1),FIND("]",CELL("filename",$A$1))+1,256),1)&amp;" of "&amp;COUNT('OKT.001:OKT.xyz - blank'!$P$3)-1</f>
        <v>OKT Project 8 of 19</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229685.69393356299</v>
      </c>
      <c r="P5" s="244"/>
      <c r="R5" s="244"/>
      <c r="S5" s="244"/>
      <c r="T5" s="244"/>
      <c r="U5" s="244"/>
    </row>
    <row r="6" spans="1:21" ht="15.5">
      <c r="C6" s="236"/>
      <c r="D6" s="293"/>
      <c r="E6" s="244"/>
      <c r="F6" s="244"/>
      <c r="G6" s="244"/>
      <c r="H6" s="450"/>
      <c r="I6" s="450"/>
      <c r="J6" s="451"/>
      <c r="K6" s="452" t="s">
        <v>243</v>
      </c>
      <c r="L6" s="453"/>
      <c r="M6" s="279"/>
      <c r="N6" s="454">
        <f>VLOOKUP(I10,C17:I73,6)</f>
        <v>229685.69393356299</v>
      </c>
      <c r="O6" s="244"/>
      <c r="P6" s="244"/>
      <c r="R6" s="244"/>
      <c r="S6" s="244"/>
      <c r="T6" s="244"/>
      <c r="U6" s="244"/>
    </row>
    <row r="7" spans="1:21" ht="13.5" thickBot="1">
      <c r="C7" s="455" t="s">
        <v>46</v>
      </c>
      <c r="D7" s="456" t="s">
        <v>215</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C9" s="464" t="s">
        <v>48</v>
      </c>
      <c r="D9" s="465" t="s">
        <v>260</v>
      </c>
      <c r="E9" s="466"/>
      <c r="F9" s="466"/>
      <c r="G9" s="466"/>
      <c r="H9" s="466"/>
      <c r="I9" s="467"/>
      <c r="J9" s="468"/>
      <c r="O9" s="469"/>
      <c r="P9" s="279"/>
      <c r="R9" s="244"/>
      <c r="S9" s="244"/>
      <c r="T9" s="244"/>
      <c r="U9" s="244"/>
    </row>
    <row r="10" spans="1:21" ht="13">
      <c r="C10" s="470" t="s">
        <v>49</v>
      </c>
      <c r="D10" s="471">
        <v>1864625.01</v>
      </c>
      <c r="E10" s="300" t="s">
        <v>50</v>
      </c>
      <c r="F10" s="469"/>
      <c r="G10" s="409"/>
      <c r="H10" s="409"/>
      <c r="I10" s="472">
        <f>+OKT.WS.F.BPU.ATRR.Projected!R100</f>
        <v>2019</v>
      </c>
      <c r="J10" s="468"/>
      <c r="K10" s="295" t="s">
        <v>51</v>
      </c>
      <c r="O10" s="279"/>
      <c r="P10" s="279"/>
      <c r="R10" s="244"/>
      <c r="S10" s="244"/>
      <c r="T10" s="244"/>
      <c r="U10" s="244"/>
    </row>
    <row r="11" spans="1:21" ht="12.5">
      <c r="C11" s="473" t="s">
        <v>52</v>
      </c>
      <c r="D11" s="474">
        <v>2014</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6</v>
      </c>
      <c r="E12" s="473" t="s">
        <v>55</v>
      </c>
      <c r="F12" s="409"/>
      <c r="G12" s="221"/>
      <c r="H12" s="221"/>
      <c r="I12" s="477">
        <f>OKT.WS.F.BPU.ATRR.Projected!$F$78</f>
        <v>0.11749102697326873</v>
      </c>
      <c r="J12" s="414"/>
      <c r="K12" s="145" t="s">
        <v>56</v>
      </c>
      <c r="O12" s="279"/>
      <c r="P12" s="279"/>
      <c r="R12" s="244"/>
      <c r="S12" s="244"/>
      <c r="T12" s="244"/>
      <c r="U12" s="244"/>
    </row>
    <row r="13" spans="1:21" ht="12.5">
      <c r="C13" s="473" t="s">
        <v>57</v>
      </c>
      <c r="D13" s="475">
        <f>+OKT.WS.F.BPU.ATRR.Projected!F$89</f>
        <v>41</v>
      </c>
      <c r="E13" s="473" t="s">
        <v>58</v>
      </c>
      <c r="F13" s="409"/>
      <c r="G13" s="221"/>
      <c r="H13" s="221"/>
      <c r="I13" s="477">
        <f>IF(G5="",I12,OKT.WS.F.BPU.ATRR.Projected!$F$77)</f>
        <v>0.11749102697326873</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45478.658780487807</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73" si="0">IF(D17=F16,"","IU")</f>
        <v>IU</v>
      </c>
      <c r="C17" s="496">
        <f>IF(D11= "","-",D11)</f>
        <v>2014</v>
      </c>
      <c r="D17" s="497">
        <v>669000</v>
      </c>
      <c r="E17" s="498">
        <v>5786.5857813386465</v>
      </c>
      <c r="F17" s="497">
        <v>663213.41421866138</v>
      </c>
      <c r="G17" s="498">
        <v>48353.352128136466</v>
      </c>
      <c r="H17" s="500">
        <v>48353.352128136466</v>
      </c>
      <c r="I17" s="501">
        <v>0</v>
      </c>
      <c r="J17" s="501"/>
      <c r="K17" s="502">
        <f t="shared" ref="K17:K22" si="1">G17</f>
        <v>48353.352128136466</v>
      </c>
      <c r="L17" s="503">
        <f t="shared" ref="L17:L22" si="2">IF(K17&lt;&gt;0,+G17-K17,0)</f>
        <v>0</v>
      </c>
      <c r="M17" s="502">
        <f t="shared" ref="M17:M22" si="3">H17</f>
        <v>48353.352128136466</v>
      </c>
      <c r="N17" s="504">
        <f>IF(M17&lt;&gt;0,+H17-M17,0)</f>
        <v>0</v>
      </c>
      <c r="O17" s="505">
        <f>+N17-L17</f>
        <v>0</v>
      </c>
      <c r="P17" s="279"/>
      <c r="R17" s="244"/>
      <c r="S17" s="244"/>
      <c r="T17" s="244"/>
      <c r="U17" s="244"/>
    </row>
    <row r="18" spans="2:21" ht="12.5">
      <c r="B18" s="145" t="str">
        <f t="shared" si="0"/>
        <v/>
      </c>
      <c r="C18" s="496">
        <f>IF(D11="","-",+C17+1)</f>
        <v>2015</v>
      </c>
      <c r="D18" s="615">
        <v>663213.41421866138</v>
      </c>
      <c r="E18" s="614">
        <v>32256.539821806971</v>
      </c>
      <c r="F18" s="615">
        <v>630956.87439685443</v>
      </c>
      <c r="G18" s="614">
        <v>97286.386538537452</v>
      </c>
      <c r="H18" s="618">
        <v>97286.386538537452</v>
      </c>
      <c r="I18" s="501">
        <v>0</v>
      </c>
      <c r="J18" s="501"/>
      <c r="K18" s="507">
        <f t="shared" si="1"/>
        <v>97286.386538537452</v>
      </c>
      <c r="L18" s="508">
        <f t="shared" si="2"/>
        <v>0</v>
      </c>
      <c r="M18" s="507">
        <f t="shared" si="3"/>
        <v>97286.386538537452</v>
      </c>
      <c r="N18" s="505">
        <f>IF(M18&lt;&gt;0,+H18-M18,0)</f>
        <v>0</v>
      </c>
      <c r="O18" s="505">
        <f>+N18-L18</f>
        <v>0</v>
      </c>
      <c r="P18" s="279"/>
      <c r="R18" s="244"/>
      <c r="S18" s="244"/>
      <c r="T18" s="244"/>
      <c r="U18" s="244"/>
    </row>
    <row r="19" spans="2:21" ht="12.5">
      <c r="B19" s="145" t="str">
        <f t="shared" si="0"/>
        <v>IU</v>
      </c>
      <c r="C19" s="496">
        <f>IF(D11="","-",+C18+1)</f>
        <v>2016</v>
      </c>
      <c r="D19" s="615">
        <v>1826581.8843968543</v>
      </c>
      <c r="E19" s="614">
        <v>38745.889906300305</v>
      </c>
      <c r="F19" s="615">
        <v>1787835.9944905541</v>
      </c>
      <c r="G19" s="614">
        <v>231618.29862330039</v>
      </c>
      <c r="H19" s="618">
        <v>231618.29862330039</v>
      </c>
      <c r="I19" s="501">
        <f>H19-G19</f>
        <v>0</v>
      </c>
      <c r="J19" s="501"/>
      <c r="K19" s="507">
        <f t="shared" si="1"/>
        <v>231618.29862330039</v>
      </c>
      <c r="L19" s="508">
        <f t="shared" si="2"/>
        <v>0</v>
      </c>
      <c r="M19" s="507">
        <f t="shared" si="3"/>
        <v>231618.29862330039</v>
      </c>
      <c r="N19" s="505">
        <f t="shared" ref="N19:N73" si="4">IF(M19&lt;&gt;0,+H19-M19,0)</f>
        <v>0</v>
      </c>
      <c r="O19" s="505">
        <f t="shared" ref="O19:O73" si="5">+N19-L19</f>
        <v>0</v>
      </c>
      <c r="P19" s="279"/>
      <c r="R19" s="244"/>
      <c r="S19" s="244"/>
      <c r="T19" s="244"/>
      <c r="U19" s="244"/>
    </row>
    <row r="20" spans="2:21" ht="12.5">
      <c r="B20" s="145" t="str">
        <f t="shared" si="0"/>
        <v/>
      </c>
      <c r="C20" s="496">
        <f>IF(D11="","-",+C19+1)</f>
        <v>2017</v>
      </c>
      <c r="D20" s="615">
        <v>1787835.9944905541</v>
      </c>
      <c r="E20" s="614">
        <v>36662.21925080863</v>
      </c>
      <c r="F20" s="615">
        <v>1751173.7752397454</v>
      </c>
      <c r="G20" s="614">
        <v>231201.53737593384</v>
      </c>
      <c r="H20" s="618">
        <v>231201.53737593384</v>
      </c>
      <c r="I20" s="501">
        <f t="shared" ref="I20:I73" si="6">H20-G20</f>
        <v>0</v>
      </c>
      <c r="J20" s="501"/>
      <c r="K20" s="507">
        <f t="shared" si="1"/>
        <v>231201.53737593384</v>
      </c>
      <c r="L20" s="508">
        <f t="shared" si="2"/>
        <v>0</v>
      </c>
      <c r="M20" s="507">
        <f t="shared" si="3"/>
        <v>231201.53737593384</v>
      </c>
      <c r="N20" s="505">
        <f>IF(M20&lt;&gt;0,+H20-M20,0)</f>
        <v>0</v>
      </c>
      <c r="O20" s="505">
        <f>+N20-L20</f>
        <v>0</v>
      </c>
      <c r="P20" s="279"/>
      <c r="R20" s="244"/>
      <c r="S20" s="244"/>
      <c r="T20" s="244"/>
      <c r="U20" s="244"/>
    </row>
    <row r="21" spans="2:21" ht="12.5">
      <c r="B21" s="145" t="str">
        <f t="shared" si="0"/>
        <v/>
      </c>
      <c r="C21" s="496">
        <f>IF(D11="","-",+C20+1)</f>
        <v>2018</v>
      </c>
      <c r="D21" s="615">
        <v>1751173.7752397454</v>
      </c>
      <c r="E21" s="614">
        <v>45729.148838219895</v>
      </c>
      <c r="F21" s="615">
        <v>1705444.6264015255</v>
      </c>
      <c r="G21" s="614">
        <v>221366.23750408986</v>
      </c>
      <c r="H21" s="618">
        <v>221366.23750408986</v>
      </c>
      <c r="I21" s="501">
        <v>0</v>
      </c>
      <c r="J21" s="501"/>
      <c r="K21" s="507">
        <f t="shared" si="1"/>
        <v>221366.23750408986</v>
      </c>
      <c r="L21" s="508">
        <f t="shared" si="2"/>
        <v>0</v>
      </c>
      <c r="M21" s="507">
        <f t="shared" si="3"/>
        <v>221366.23750408986</v>
      </c>
      <c r="N21" s="505">
        <f>IF(M21&lt;&gt;0,+H21-M21,0)</f>
        <v>0</v>
      </c>
      <c r="O21" s="505">
        <f>+N21-L21</f>
        <v>0</v>
      </c>
      <c r="P21" s="279"/>
      <c r="R21" s="244"/>
      <c r="S21" s="244"/>
      <c r="T21" s="244"/>
      <c r="U21" s="244"/>
    </row>
    <row r="22" spans="2:21" ht="12.5">
      <c r="B22" s="145" t="str">
        <f t="shared" si="0"/>
        <v/>
      </c>
      <c r="C22" s="496">
        <f>IF(D11="","-",+C21+1)</f>
        <v>2019</v>
      </c>
      <c r="D22" s="615">
        <v>1705444.6264015255</v>
      </c>
      <c r="E22" s="614">
        <v>55302.6277388339</v>
      </c>
      <c r="F22" s="615">
        <v>1650141.9986626916</v>
      </c>
      <c r="G22" s="614">
        <v>229685.69393356299</v>
      </c>
      <c r="H22" s="618">
        <v>229685.69393356299</v>
      </c>
      <c r="I22" s="501">
        <f t="shared" si="6"/>
        <v>0</v>
      </c>
      <c r="J22" s="501"/>
      <c r="K22" s="507">
        <f t="shared" si="1"/>
        <v>229685.69393356299</v>
      </c>
      <c r="L22" s="508">
        <f t="shared" si="2"/>
        <v>0</v>
      </c>
      <c r="M22" s="507">
        <f t="shared" si="3"/>
        <v>229685.69393356299</v>
      </c>
      <c r="N22" s="505">
        <f>IF(M22&lt;&gt;0,+H22-M22,0)</f>
        <v>0</v>
      </c>
      <c r="O22" s="505">
        <f>+N22-L22</f>
        <v>0</v>
      </c>
      <c r="P22" s="279"/>
      <c r="R22" s="244"/>
      <c r="S22" s="244"/>
      <c r="T22" s="244"/>
      <c r="U22" s="244"/>
    </row>
    <row r="23" spans="2:21" ht="12.5">
      <c r="B23" s="145" t="str">
        <f t="shared" si="0"/>
        <v/>
      </c>
      <c r="C23" s="496">
        <f>IF(D11="","-",+C22+1)</f>
        <v>2020</v>
      </c>
      <c r="D23" s="509">
        <f>IF(F22+SUM(E$17:E22)=D$10,F22,D$10-SUM(E$17:E22))</f>
        <v>1650141.9986626916</v>
      </c>
      <c r="E23" s="510">
        <f t="shared" ref="E23:E73" si="7">IF(+$I$14&lt;F22,$I$14,D23)</f>
        <v>45478.658780487807</v>
      </c>
      <c r="F23" s="511">
        <f t="shared" ref="F23:F73" si="8">+D23-E23</f>
        <v>1604663.3398822038</v>
      </c>
      <c r="G23" s="512">
        <f t="shared" ref="G23:G73" si="9">(D23+F23)/2*I$12+E23</f>
        <v>236683.86969234649</v>
      </c>
      <c r="H23" s="478">
        <f t="shared" ref="H23:H73" si="10">+(D23+F23)/2*I$13+E23</f>
        <v>236683.86969234649</v>
      </c>
      <c r="I23" s="501">
        <f t="shared" si="6"/>
        <v>0</v>
      </c>
      <c r="J23" s="501"/>
      <c r="K23" s="513"/>
      <c r="L23" s="505">
        <f t="shared" ref="L23:L73" si="11">IF(K23&lt;&gt;0,+G23-K23,0)</f>
        <v>0</v>
      </c>
      <c r="M23" s="513"/>
      <c r="N23" s="505">
        <f t="shared" si="4"/>
        <v>0</v>
      </c>
      <c r="O23" s="505">
        <f t="shared" si="5"/>
        <v>0</v>
      </c>
      <c r="P23" s="279"/>
      <c r="R23" s="244"/>
      <c r="S23" s="244"/>
      <c r="T23" s="244"/>
      <c r="U23" s="244"/>
    </row>
    <row r="24" spans="2:21" ht="12.5">
      <c r="B24" s="145" t="str">
        <f t="shared" si="0"/>
        <v/>
      </c>
      <c r="C24" s="496">
        <f>IF(D11="","-",+C23+1)</f>
        <v>2021</v>
      </c>
      <c r="D24" s="509">
        <f>IF(F23+SUM(E$17:E23)=D$10,F23,D$10-SUM(E$17:E23))</f>
        <v>1604663.3398822038</v>
      </c>
      <c r="E24" s="510">
        <f t="shared" si="7"/>
        <v>45478.658780487807</v>
      </c>
      <c r="F24" s="511">
        <f t="shared" si="8"/>
        <v>1559184.6811017161</v>
      </c>
      <c r="G24" s="512">
        <f t="shared" si="9"/>
        <v>231340.53536686013</v>
      </c>
      <c r="H24" s="478">
        <f t="shared" si="10"/>
        <v>231340.53536686013</v>
      </c>
      <c r="I24" s="501">
        <f t="shared" si="6"/>
        <v>0</v>
      </c>
      <c r="J24" s="501"/>
      <c r="K24" s="513"/>
      <c r="L24" s="505">
        <f t="shared" si="11"/>
        <v>0</v>
      </c>
      <c r="M24" s="513"/>
      <c r="N24" s="505">
        <f t="shared" si="4"/>
        <v>0</v>
      </c>
      <c r="O24" s="505">
        <f t="shared" si="5"/>
        <v>0</v>
      </c>
      <c r="P24" s="279"/>
      <c r="R24" s="244"/>
      <c r="S24" s="244"/>
      <c r="T24" s="244"/>
      <c r="U24" s="244"/>
    </row>
    <row r="25" spans="2:21" ht="12.5">
      <c r="B25" s="145" t="str">
        <f t="shared" si="0"/>
        <v/>
      </c>
      <c r="C25" s="496">
        <f>IF(D11="","-",+C24+1)</f>
        <v>2022</v>
      </c>
      <c r="D25" s="509">
        <f>IF(F24+SUM(E$17:E24)=D$10,F24,D$10-SUM(E$17:E24))</f>
        <v>1559184.6811017161</v>
      </c>
      <c r="E25" s="510">
        <f t="shared" si="7"/>
        <v>45478.658780487807</v>
      </c>
      <c r="F25" s="511">
        <f t="shared" si="8"/>
        <v>1513706.0223212284</v>
      </c>
      <c r="G25" s="512">
        <f t="shared" si="9"/>
        <v>225997.20104137374</v>
      </c>
      <c r="H25" s="478">
        <f t="shared" si="10"/>
        <v>225997.20104137374</v>
      </c>
      <c r="I25" s="501">
        <f t="shared" si="6"/>
        <v>0</v>
      </c>
      <c r="J25" s="501"/>
      <c r="K25" s="513"/>
      <c r="L25" s="505">
        <f t="shared" si="11"/>
        <v>0</v>
      </c>
      <c r="M25" s="513"/>
      <c r="N25" s="505">
        <f t="shared" si="4"/>
        <v>0</v>
      </c>
      <c r="O25" s="505">
        <f t="shared" si="5"/>
        <v>0</v>
      </c>
      <c r="P25" s="279"/>
      <c r="R25" s="244"/>
      <c r="S25" s="244"/>
      <c r="T25" s="244"/>
      <c r="U25" s="244"/>
    </row>
    <row r="26" spans="2:21" ht="12.5">
      <c r="B26" s="145" t="str">
        <f t="shared" si="0"/>
        <v/>
      </c>
      <c r="C26" s="496">
        <f>IF(D11="","-",+C25+1)</f>
        <v>2023</v>
      </c>
      <c r="D26" s="509">
        <f>IF(F25+SUM(E$17:E25)=D$10,F25,D$10-SUM(E$17:E25))</f>
        <v>1513706.0223212284</v>
      </c>
      <c r="E26" s="510">
        <f t="shared" si="7"/>
        <v>45478.658780487807</v>
      </c>
      <c r="F26" s="511">
        <f t="shared" si="8"/>
        <v>1468227.3635407407</v>
      </c>
      <c r="G26" s="512">
        <f t="shared" si="9"/>
        <v>220653.86671588739</v>
      </c>
      <c r="H26" s="478">
        <f t="shared" si="10"/>
        <v>220653.86671588739</v>
      </c>
      <c r="I26" s="501">
        <f t="shared" si="6"/>
        <v>0</v>
      </c>
      <c r="J26" s="501"/>
      <c r="K26" s="513"/>
      <c r="L26" s="505">
        <f t="shared" si="11"/>
        <v>0</v>
      </c>
      <c r="M26" s="513"/>
      <c r="N26" s="505">
        <f t="shared" si="4"/>
        <v>0</v>
      </c>
      <c r="O26" s="505">
        <f t="shared" si="5"/>
        <v>0</v>
      </c>
      <c r="P26" s="279"/>
      <c r="R26" s="244"/>
      <c r="S26" s="244"/>
      <c r="T26" s="244"/>
      <c r="U26" s="244"/>
    </row>
    <row r="27" spans="2:21" ht="12.5">
      <c r="B27" s="145" t="str">
        <f t="shared" si="0"/>
        <v/>
      </c>
      <c r="C27" s="496">
        <f>IF(D11="","-",+C26+1)</f>
        <v>2024</v>
      </c>
      <c r="D27" s="509">
        <f>IF(F26+SUM(E$17:E26)=D$10,F26,D$10-SUM(E$17:E26))</f>
        <v>1468227.3635407407</v>
      </c>
      <c r="E27" s="510">
        <f t="shared" si="7"/>
        <v>45478.658780487807</v>
      </c>
      <c r="F27" s="511">
        <f t="shared" si="8"/>
        <v>1422748.704760253</v>
      </c>
      <c r="G27" s="512">
        <f t="shared" si="9"/>
        <v>215310.53239040103</v>
      </c>
      <c r="H27" s="478">
        <f t="shared" si="10"/>
        <v>215310.53239040103</v>
      </c>
      <c r="I27" s="501">
        <f t="shared" si="6"/>
        <v>0</v>
      </c>
      <c r="J27" s="501"/>
      <c r="K27" s="513"/>
      <c r="L27" s="505">
        <f t="shared" si="11"/>
        <v>0</v>
      </c>
      <c r="M27" s="513"/>
      <c r="N27" s="505">
        <f t="shared" si="4"/>
        <v>0</v>
      </c>
      <c r="O27" s="505">
        <f t="shared" si="5"/>
        <v>0</v>
      </c>
      <c r="P27" s="279"/>
      <c r="R27" s="244"/>
      <c r="S27" s="244"/>
      <c r="T27" s="244"/>
      <c r="U27" s="244"/>
    </row>
    <row r="28" spans="2:21" ht="12.5">
      <c r="B28" s="145" t="str">
        <f t="shared" si="0"/>
        <v/>
      </c>
      <c r="C28" s="496">
        <f>IF(D11="","-",+C27+1)</f>
        <v>2025</v>
      </c>
      <c r="D28" s="509">
        <f>IF(F27+SUM(E$17:E27)=D$10,F27,D$10-SUM(E$17:E27))</f>
        <v>1422748.704760253</v>
      </c>
      <c r="E28" s="510">
        <f t="shared" si="7"/>
        <v>45478.658780487807</v>
      </c>
      <c r="F28" s="511">
        <f t="shared" si="8"/>
        <v>1377270.0459797652</v>
      </c>
      <c r="G28" s="512">
        <f t="shared" si="9"/>
        <v>209967.19806491464</v>
      </c>
      <c r="H28" s="478">
        <f t="shared" si="10"/>
        <v>209967.19806491464</v>
      </c>
      <c r="I28" s="501">
        <f t="shared" si="6"/>
        <v>0</v>
      </c>
      <c r="J28" s="501"/>
      <c r="K28" s="513"/>
      <c r="L28" s="505">
        <f t="shared" si="11"/>
        <v>0</v>
      </c>
      <c r="M28" s="513"/>
      <c r="N28" s="505">
        <f t="shared" si="4"/>
        <v>0</v>
      </c>
      <c r="O28" s="505">
        <f t="shared" si="5"/>
        <v>0</v>
      </c>
      <c r="P28" s="279"/>
      <c r="R28" s="244"/>
      <c r="S28" s="244"/>
      <c r="T28" s="244"/>
      <c r="U28" s="244"/>
    </row>
    <row r="29" spans="2:21" ht="12.5">
      <c r="B29" s="145" t="str">
        <f t="shared" si="0"/>
        <v/>
      </c>
      <c r="C29" s="496">
        <f>IF(D11="","-",+C28+1)</f>
        <v>2026</v>
      </c>
      <c r="D29" s="509">
        <f>IF(F28+SUM(E$17:E28)=D$10,F28,D$10-SUM(E$17:E28))</f>
        <v>1377270.0459797652</v>
      </c>
      <c r="E29" s="510">
        <f t="shared" si="7"/>
        <v>45478.658780487807</v>
      </c>
      <c r="F29" s="511">
        <f t="shared" si="8"/>
        <v>1331791.3871992775</v>
      </c>
      <c r="G29" s="512">
        <f t="shared" si="9"/>
        <v>204623.86373942829</v>
      </c>
      <c r="H29" s="478">
        <f t="shared" si="10"/>
        <v>204623.86373942829</v>
      </c>
      <c r="I29" s="501">
        <f t="shared" si="6"/>
        <v>0</v>
      </c>
      <c r="J29" s="501"/>
      <c r="K29" s="513"/>
      <c r="L29" s="505">
        <f t="shared" si="11"/>
        <v>0</v>
      </c>
      <c r="M29" s="513"/>
      <c r="N29" s="505">
        <f t="shared" si="4"/>
        <v>0</v>
      </c>
      <c r="O29" s="505">
        <f t="shared" si="5"/>
        <v>0</v>
      </c>
      <c r="P29" s="279"/>
      <c r="R29" s="244"/>
      <c r="S29" s="244"/>
      <c r="T29" s="244"/>
      <c r="U29" s="244"/>
    </row>
    <row r="30" spans="2:21" ht="12.5">
      <c r="B30" s="145" t="str">
        <f t="shared" si="0"/>
        <v/>
      </c>
      <c r="C30" s="496">
        <f>IF(D11="","-",+C29+1)</f>
        <v>2027</v>
      </c>
      <c r="D30" s="509">
        <f>IF(F29+SUM(E$17:E29)=D$10,F29,D$10-SUM(E$17:E29))</f>
        <v>1331791.3871992775</v>
      </c>
      <c r="E30" s="510">
        <f t="shared" si="7"/>
        <v>45478.658780487807</v>
      </c>
      <c r="F30" s="511">
        <f t="shared" si="8"/>
        <v>1286312.7284187898</v>
      </c>
      <c r="G30" s="512">
        <f t="shared" si="9"/>
        <v>199280.52941394193</v>
      </c>
      <c r="H30" s="478">
        <f t="shared" si="10"/>
        <v>199280.52941394193</v>
      </c>
      <c r="I30" s="501">
        <f t="shared" si="6"/>
        <v>0</v>
      </c>
      <c r="J30" s="501"/>
      <c r="K30" s="513"/>
      <c r="L30" s="505">
        <f t="shared" si="11"/>
        <v>0</v>
      </c>
      <c r="M30" s="513"/>
      <c r="N30" s="505">
        <f t="shared" si="4"/>
        <v>0</v>
      </c>
      <c r="O30" s="505">
        <f t="shared" si="5"/>
        <v>0</v>
      </c>
      <c r="P30" s="279"/>
      <c r="R30" s="244"/>
      <c r="S30" s="244"/>
      <c r="T30" s="244"/>
      <c r="U30" s="244"/>
    </row>
    <row r="31" spans="2:21" ht="12.5">
      <c r="B31" s="145" t="str">
        <f t="shared" si="0"/>
        <v/>
      </c>
      <c r="C31" s="496">
        <f>IF(D11="","-",+C30+1)</f>
        <v>2028</v>
      </c>
      <c r="D31" s="509">
        <f>IF(F30+SUM(E$17:E30)=D$10,F30,D$10-SUM(E$17:E30))</f>
        <v>1286312.7284187898</v>
      </c>
      <c r="E31" s="510">
        <f t="shared" si="7"/>
        <v>45478.658780487807</v>
      </c>
      <c r="F31" s="511">
        <f t="shared" si="8"/>
        <v>1240834.0696383021</v>
      </c>
      <c r="G31" s="512">
        <f t="shared" si="9"/>
        <v>193937.19508845554</v>
      </c>
      <c r="H31" s="478">
        <f t="shared" si="10"/>
        <v>193937.19508845554</v>
      </c>
      <c r="I31" s="501">
        <f t="shared" si="6"/>
        <v>0</v>
      </c>
      <c r="J31" s="501"/>
      <c r="K31" s="513"/>
      <c r="L31" s="505">
        <f t="shared" si="11"/>
        <v>0</v>
      </c>
      <c r="M31" s="513"/>
      <c r="N31" s="505">
        <f t="shared" si="4"/>
        <v>0</v>
      </c>
      <c r="O31" s="505">
        <f t="shared" si="5"/>
        <v>0</v>
      </c>
      <c r="P31" s="279"/>
      <c r="Q31" s="221"/>
      <c r="R31" s="279"/>
      <c r="S31" s="279"/>
      <c r="T31" s="279"/>
      <c r="U31" s="244"/>
    </row>
    <row r="32" spans="2:21" ht="12.5">
      <c r="B32" s="145" t="str">
        <f t="shared" si="0"/>
        <v/>
      </c>
      <c r="C32" s="496">
        <f>IF(D12="","-",+C31+1)</f>
        <v>2029</v>
      </c>
      <c r="D32" s="509">
        <f>IF(F31+SUM(E$17:E31)=D$10,F31,D$10-SUM(E$17:E31))</f>
        <v>1240834.0696383021</v>
      </c>
      <c r="E32" s="510">
        <f>IF(+$I$14&lt;F31,$I$14,D32)</f>
        <v>45478.658780487807</v>
      </c>
      <c r="F32" s="511">
        <f>+D32-E32</f>
        <v>1195355.4108578144</v>
      </c>
      <c r="G32" s="512">
        <f t="shared" si="9"/>
        <v>188593.86076296918</v>
      </c>
      <c r="H32" s="478">
        <f t="shared" si="10"/>
        <v>188593.86076296918</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0"/>
        <v/>
      </c>
      <c r="C33" s="496">
        <f>IF(D13="","-",+C32+1)</f>
        <v>2030</v>
      </c>
      <c r="D33" s="509">
        <f>IF(F32+SUM(E$17:E32)=D$10,F32,D$10-SUM(E$17:E32))</f>
        <v>1195355.4108578144</v>
      </c>
      <c r="E33" s="510">
        <f>IF(+$I$14&lt;F32,$I$14,D33)</f>
        <v>45478.658780487807</v>
      </c>
      <c r="F33" s="511">
        <f>+D33-E33</f>
        <v>1149876.7520773266</v>
      </c>
      <c r="G33" s="512">
        <f t="shared" si="9"/>
        <v>183250.52643748283</v>
      </c>
      <c r="H33" s="478">
        <f t="shared" si="10"/>
        <v>183250.52643748283</v>
      </c>
      <c r="I33" s="501">
        <f>H33-G33</f>
        <v>0</v>
      </c>
      <c r="J33" s="501"/>
      <c r="K33" s="513"/>
      <c r="L33" s="505">
        <f>IF(K33&lt;&gt;0,+G33-K33,0)</f>
        <v>0</v>
      </c>
      <c r="M33" s="513"/>
      <c r="N33" s="505">
        <f>IF(M33&lt;&gt;0,+H33-M33,0)</f>
        <v>0</v>
      </c>
      <c r="O33" s="505">
        <f>+N33-L33</f>
        <v>0</v>
      </c>
      <c r="P33" s="279"/>
      <c r="R33" s="244"/>
      <c r="S33" s="244"/>
      <c r="T33" s="244"/>
      <c r="U33" s="244"/>
    </row>
    <row r="34" spans="2:21" ht="12.5">
      <c r="B34" s="145" t="str">
        <f t="shared" si="0"/>
        <v/>
      </c>
      <c r="C34" s="514">
        <f>IF(D11="","-",+C33+1)</f>
        <v>2031</v>
      </c>
      <c r="D34" s="515">
        <f>IF(F33+SUM(E$17:E33)=D$10,F33,D$10-SUM(E$17:E33))</f>
        <v>1149876.7520773266</v>
      </c>
      <c r="E34" s="516">
        <f t="shared" si="7"/>
        <v>45478.658780487807</v>
      </c>
      <c r="F34" s="517">
        <f t="shared" si="8"/>
        <v>1104398.0932968389</v>
      </c>
      <c r="G34" s="518">
        <f t="shared" si="9"/>
        <v>177907.19211199644</v>
      </c>
      <c r="H34" s="519">
        <f t="shared" si="10"/>
        <v>177907.19211199644</v>
      </c>
      <c r="I34" s="520">
        <f t="shared" si="6"/>
        <v>0</v>
      </c>
      <c r="J34" s="520"/>
      <c r="K34" s="521"/>
      <c r="L34" s="522">
        <f t="shared" si="11"/>
        <v>0</v>
      </c>
      <c r="M34" s="521"/>
      <c r="N34" s="522">
        <f t="shared" si="4"/>
        <v>0</v>
      </c>
      <c r="O34" s="522">
        <f t="shared" si="5"/>
        <v>0</v>
      </c>
      <c r="P34" s="523"/>
      <c r="Q34" s="217"/>
      <c r="R34" s="523"/>
      <c r="S34" s="523"/>
      <c r="T34" s="523"/>
      <c r="U34" s="244"/>
    </row>
    <row r="35" spans="2:21" ht="12.5">
      <c r="B35" s="145" t="str">
        <f t="shared" si="0"/>
        <v/>
      </c>
      <c r="C35" s="496">
        <f>IF(D11="","-",+C34+1)</f>
        <v>2032</v>
      </c>
      <c r="D35" s="509">
        <f>IF(F34+SUM(E$17:E34)=D$10,F34,D$10-SUM(E$17:E34))</f>
        <v>1104398.0932968389</v>
      </c>
      <c r="E35" s="510">
        <f t="shared" si="7"/>
        <v>45478.658780487807</v>
      </c>
      <c r="F35" s="511">
        <f t="shared" si="8"/>
        <v>1058919.4345163512</v>
      </c>
      <c r="G35" s="512">
        <f t="shared" si="9"/>
        <v>172563.85778651008</v>
      </c>
      <c r="H35" s="478">
        <f t="shared" si="10"/>
        <v>172563.85778651008</v>
      </c>
      <c r="I35" s="501">
        <f t="shared" si="6"/>
        <v>0</v>
      </c>
      <c r="J35" s="501"/>
      <c r="K35" s="513"/>
      <c r="L35" s="505">
        <f t="shared" si="11"/>
        <v>0</v>
      </c>
      <c r="M35" s="513"/>
      <c r="N35" s="505">
        <f t="shared" si="4"/>
        <v>0</v>
      </c>
      <c r="O35" s="505">
        <f t="shared" si="5"/>
        <v>0</v>
      </c>
      <c r="P35" s="279"/>
      <c r="R35" s="244"/>
      <c r="S35" s="244"/>
      <c r="T35" s="244"/>
      <c r="U35" s="244"/>
    </row>
    <row r="36" spans="2:21" ht="12.5">
      <c r="B36" s="145" t="str">
        <f t="shared" si="0"/>
        <v/>
      </c>
      <c r="C36" s="496">
        <f>IF(D11="","-",+C35+1)</f>
        <v>2033</v>
      </c>
      <c r="D36" s="509">
        <f>IF(F35+SUM(E$17:E35)=D$10,F35,D$10-SUM(E$17:E35))</f>
        <v>1058919.4345163512</v>
      </c>
      <c r="E36" s="510">
        <f t="shared" si="7"/>
        <v>45478.658780487807</v>
      </c>
      <c r="F36" s="511">
        <f t="shared" si="8"/>
        <v>1013440.7757358634</v>
      </c>
      <c r="G36" s="512">
        <f t="shared" si="9"/>
        <v>167220.52346102369</v>
      </c>
      <c r="H36" s="478">
        <f t="shared" si="10"/>
        <v>167220.52346102369</v>
      </c>
      <c r="I36" s="501">
        <f t="shared" si="6"/>
        <v>0</v>
      </c>
      <c r="J36" s="501"/>
      <c r="K36" s="513"/>
      <c r="L36" s="505">
        <f t="shared" si="11"/>
        <v>0</v>
      </c>
      <c r="M36" s="513"/>
      <c r="N36" s="505">
        <f t="shared" si="4"/>
        <v>0</v>
      </c>
      <c r="O36" s="505">
        <f t="shared" si="5"/>
        <v>0</v>
      </c>
      <c r="P36" s="279"/>
      <c r="R36" s="244"/>
      <c r="S36" s="244"/>
      <c r="T36" s="244"/>
      <c r="U36" s="244"/>
    </row>
    <row r="37" spans="2:21" ht="12.5">
      <c r="B37" s="145" t="str">
        <f t="shared" si="0"/>
        <v/>
      </c>
      <c r="C37" s="496">
        <f>IF(D11="","-",+C36+1)</f>
        <v>2034</v>
      </c>
      <c r="D37" s="509">
        <f>IF(F36+SUM(E$17:E36)=D$10,F36,D$10-SUM(E$17:E36))</f>
        <v>1013440.7757358634</v>
      </c>
      <c r="E37" s="510">
        <f t="shared" si="7"/>
        <v>45478.658780487807</v>
      </c>
      <c r="F37" s="511">
        <f t="shared" si="8"/>
        <v>967962.11695537553</v>
      </c>
      <c r="G37" s="512">
        <f t="shared" si="9"/>
        <v>161877.18913553731</v>
      </c>
      <c r="H37" s="478">
        <f t="shared" si="10"/>
        <v>161877.18913553731</v>
      </c>
      <c r="I37" s="501">
        <f t="shared" si="6"/>
        <v>0</v>
      </c>
      <c r="J37" s="501"/>
      <c r="K37" s="513"/>
      <c r="L37" s="505">
        <f t="shared" si="11"/>
        <v>0</v>
      </c>
      <c r="M37" s="513"/>
      <c r="N37" s="505">
        <f t="shared" si="4"/>
        <v>0</v>
      </c>
      <c r="O37" s="505">
        <f t="shared" si="5"/>
        <v>0</v>
      </c>
      <c r="P37" s="279"/>
      <c r="R37" s="244"/>
      <c r="S37" s="244"/>
      <c r="T37" s="244"/>
      <c r="U37" s="244"/>
    </row>
    <row r="38" spans="2:21" ht="12.5">
      <c r="B38" s="145" t="str">
        <f t="shared" si="0"/>
        <v/>
      </c>
      <c r="C38" s="496">
        <f>IF(D11="","-",+C37+1)</f>
        <v>2035</v>
      </c>
      <c r="D38" s="509">
        <f>IF(F37+SUM(E$17:E37)=D$10,F37,D$10-SUM(E$17:E37))</f>
        <v>967962.11695537553</v>
      </c>
      <c r="E38" s="510">
        <f t="shared" si="7"/>
        <v>45478.658780487807</v>
      </c>
      <c r="F38" s="511">
        <f t="shared" si="8"/>
        <v>922483.4581748877</v>
      </c>
      <c r="G38" s="512">
        <f t="shared" si="9"/>
        <v>156533.85481005095</v>
      </c>
      <c r="H38" s="478">
        <f t="shared" si="10"/>
        <v>156533.85481005095</v>
      </c>
      <c r="I38" s="501">
        <f t="shared" si="6"/>
        <v>0</v>
      </c>
      <c r="J38" s="501"/>
      <c r="K38" s="513"/>
      <c r="L38" s="505">
        <f t="shared" si="11"/>
        <v>0</v>
      </c>
      <c r="M38" s="513"/>
      <c r="N38" s="505">
        <f t="shared" si="4"/>
        <v>0</v>
      </c>
      <c r="O38" s="505">
        <f t="shared" si="5"/>
        <v>0</v>
      </c>
      <c r="P38" s="279"/>
      <c r="R38" s="244"/>
      <c r="S38" s="244"/>
      <c r="T38" s="244"/>
      <c r="U38" s="244"/>
    </row>
    <row r="39" spans="2:21" ht="12.5">
      <c r="B39" s="145" t="str">
        <f t="shared" si="0"/>
        <v/>
      </c>
      <c r="C39" s="496">
        <f>IF(D11="","-",+C38+1)</f>
        <v>2036</v>
      </c>
      <c r="D39" s="509">
        <f>IF(F38+SUM(E$17:E38)=D$10,F38,D$10-SUM(E$17:E38))</f>
        <v>922483.4581748877</v>
      </c>
      <c r="E39" s="510">
        <f t="shared" si="7"/>
        <v>45478.658780487807</v>
      </c>
      <c r="F39" s="511">
        <f t="shared" si="8"/>
        <v>877004.79939439986</v>
      </c>
      <c r="G39" s="512">
        <f t="shared" si="9"/>
        <v>151190.52048456453</v>
      </c>
      <c r="H39" s="478">
        <f t="shared" si="10"/>
        <v>151190.52048456453</v>
      </c>
      <c r="I39" s="501">
        <f t="shared" si="6"/>
        <v>0</v>
      </c>
      <c r="J39" s="501"/>
      <c r="K39" s="513"/>
      <c r="L39" s="505">
        <f t="shared" si="11"/>
        <v>0</v>
      </c>
      <c r="M39" s="513"/>
      <c r="N39" s="505">
        <f t="shared" si="4"/>
        <v>0</v>
      </c>
      <c r="O39" s="505">
        <f t="shared" si="5"/>
        <v>0</v>
      </c>
      <c r="P39" s="279"/>
      <c r="R39" s="244"/>
      <c r="S39" s="244"/>
      <c r="T39" s="244"/>
      <c r="U39" s="244"/>
    </row>
    <row r="40" spans="2:21" ht="12.5">
      <c r="B40" s="145" t="str">
        <f t="shared" si="0"/>
        <v/>
      </c>
      <c r="C40" s="496">
        <f>IF(D11="","-",+C39+1)</f>
        <v>2037</v>
      </c>
      <c r="D40" s="509">
        <f>IF(F39+SUM(E$17:E39)=D$10,F39,D$10-SUM(E$17:E39))</f>
        <v>877004.79939439986</v>
      </c>
      <c r="E40" s="510">
        <f t="shared" si="7"/>
        <v>45478.658780487807</v>
      </c>
      <c r="F40" s="511">
        <f t="shared" si="8"/>
        <v>831526.14061391202</v>
      </c>
      <c r="G40" s="512">
        <f t="shared" si="9"/>
        <v>145847.18615907821</v>
      </c>
      <c r="H40" s="478">
        <f t="shared" si="10"/>
        <v>145847.18615907821</v>
      </c>
      <c r="I40" s="501">
        <f t="shared" si="6"/>
        <v>0</v>
      </c>
      <c r="J40" s="501"/>
      <c r="K40" s="513"/>
      <c r="L40" s="505">
        <f t="shared" si="11"/>
        <v>0</v>
      </c>
      <c r="M40" s="513"/>
      <c r="N40" s="505">
        <f t="shared" si="4"/>
        <v>0</v>
      </c>
      <c r="O40" s="505">
        <f t="shared" si="5"/>
        <v>0</v>
      </c>
      <c r="P40" s="279"/>
      <c r="R40" s="244"/>
      <c r="S40" s="244"/>
      <c r="T40" s="244"/>
      <c r="U40" s="244"/>
    </row>
    <row r="41" spans="2:21" ht="12.5">
      <c r="B41" s="145" t="str">
        <f t="shared" si="0"/>
        <v/>
      </c>
      <c r="C41" s="496">
        <f>IF(D12="","-",+C40+1)</f>
        <v>2038</v>
      </c>
      <c r="D41" s="509">
        <f>IF(F40+SUM(E$17:E40)=D$10,F40,D$10-SUM(E$17:E40))</f>
        <v>831526.14061391202</v>
      </c>
      <c r="E41" s="510">
        <f t="shared" si="7"/>
        <v>45478.658780487807</v>
      </c>
      <c r="F41" s="511">
        <f t="shared" si="8"/>
        <v>786047.48183342419</v>
      </c>
      <c r="G41" s="512">
        <f t="shared" si="9"/>
        <v>140503.85183359179</v>
      </c>
      <c r="H41" s="478">
        <f t="shared" si="10"/>
        <v>140503.85183359179</v>
      </c>
      <c r="I41" s="501">
        <f t="shared" si="6"/>
        <v>0</v>
      </c>
      <c r="J41" s="501"/>
      <c r="K41" s="513"/>
      <c r="L41" s="505">
        <f t="shared" si="11"/>
        <v>0</v>
      </c>
      <c r="M41" s="513"/>
      <c r="N41" s="505">
        <f t="shared" si="4"/>
        <v>0</v>
      </c>
      <c r="O41" s="505">
        <f t="shared" si="5"/>
        <v>0</v>
      </c>
      <c r="P41" s="279"/>
      <c r="R41" s="244"/>
      <c r="S41" s="244"/>
      <c r="T41" s="244"/>
      <c r="U41" s="244"/>
    </row>
    <row r="42" spans="2:21" ht="12.5">
      <c r="B42" s="145" t="str">
        <f t="shared" si="0"/>
        <v/>
      </c>
      <c r="C42" s="496">
        <f>IF(D13="","-",+C41+1)</f>
        <v>2039</v>
      </c>
      <c r="D42" s="509">
        <f>IF(F41+SUM(E$17:E41)=D$10,F41,D$10-SUM(E$17:E41))</f>
        <v>786047.48183342419</v>
      </c>
      <c r="E42" s="510">
        <f t="shared" si="7"/>
        <v>45478.658780487807</v>
      </c>
      <c r="F42" s="511">
        <f t="shared" si="8"/>
        <v>740568.82305293635</v>
      </c>
      <c r="G42" s="512">
        <f t="shared" si="9"/>
        <v>135160.51750810543</v>
      </c>
      <c r="H42" s="478">
        <f t="shared" si="10"/>
        <v>135160.51750810543</v>
      </c>
      <c r="I42" s="501">
        <f t="shared" si="6"/>
        <v>0</v>
      </c>
      <c r="J42" s="501"/>
      <c r="K42" s="513"/>
      <c r="L42" s="505">
        <f t="shared" si="11"/>
        <v>0</v>
      </c>
      <c r="M42" s="513"/>
      <c r="N42" s="505">
        <f t="shared" si="4"/>
        <v>0</v>
      </c>
      <c r="O42" s="505">
        <f t="shared" si="5"/>
        <v>0</v>
      </c>
      <c r="P42" s="279"/>
      <c r="R42" s="244"/>
      <c r="S42" s="244"/>
      <c r="T42" s="244"/>
      <c r="U42" s="244"/>
    </row>
    <row r="43" spans="2:21" ht="12.5">
      <c r="B43" s="145" t="str">
        <f t="shared" si="0"/>
        <v/>
      </c>
      <c r="C43" s="496">
        <f>IF(D14="","-",+C42+1)</f>
        <v>2040</v>
      </c>
      <c r="D43" s="509">
        <f>IF(F42+SUM(E$17:E42)=D$10,F42,D$10-SUM(E$17:E42))</f>
        <v>740568.82305293635</v>
      </c>
      <c r="E43" s="510">
        <f t="shared" si="7"/>
        <v>45478.658780487807</v>
      </c>
      <c r="F43" s="511">
        <f t="shared" si="8"/>
        <v>695090.16427244851</v>
      </c>
      <c r="G43" s="512">
        <f t="shared" si="9"/>
        <v>129817.18318261903</v>
      </c>
      <c r="H43" s="478">
        <f t="shared" si="10"/>
        <v>129817.18318261903</v>
      </c>
      <c r="I43" s="501">
        <f t="shared" si="6"/>
        <v>0</v>
      </c>
      <c r="J43" s="501"/>
      <c r="K43" s="513"/>
      <c r="L43" s="505">
        <f t="shared" si="11"/>
        <v>0</v>
      </c>
      <c r="M43" s="513"/>
      <c r="N43" s="505">
        <f t="shared" si="4"/>
        <v>0</v>
      </c>
      <c r="O43" s="505">
        <f t="shared" si="5"/>
        <v>0</v>
      </c>
      <c r="P43" s="279"/>
      <c r="R43" s="244"/>
      <c r="S43" s="244"/>
      <c r="T43" s="244"/>
      <c r="U43" s="244"/>
    </row>
    <row r="44" spans="2:21" ht="12.5">
      <c r="B44" s="145" t="str">
        <f t="shared" si="0"/>
        <v/>
      </c>
      <c r="C44" s="496">
        <f>IF(D15="","-",+C43+1)</f>
        <v>2041</v>
      </c>
      <c r="D44" s="509">
        <f>IF(F43+SUM(E$17:E43)=D$10,F43,D$10-SUM(E$17:E43))</f>
        <v>695090.16427244851</v>
      </c>
      <c r="E44" s="510">
        <f t="shared" si="7"/>
        <v>45478.658780487807</v>
      </c>
      <c r="F44" s="511">
        <f t="shared" si="8"/>
        <v>649611.50549196068</v>
      </c>
      <c r="G44" s="512">
        <f t="shared" si="9"/>
        <v>124473.84885713266</v>
      </c>
      <c r="H44" s="478">
        <f t="shared" si="10"/>
        <v>124473.84885713266</v>
      </c>
      <c r="I44" s="501">
        <f t="shared" si="6"/>
        <v>0</v>
      </c>
      <c r="J44" s="501"/>
      <c r="K44" s="513"/>
      <c r="L44" s="505">
        <f t="shared" si="11"/>
        <v>0</v>
      </c>
      <c r="M44" s="513"/>
      <c r="N44" s="505">
        <f t="shared" si="4"/>
        <v>0</v>
      </c>
      <c r="O44" s="505">
        <f t="shared" si="5"/>
        <v>0</v>
      </c>
      <c r="P44" s="279"/>
      <c r="R44" s="244"/>
      <c r="S44" s="244"/>
      <c r="T44" s="244"/>
      <c r="U44" s="244"/>
    </row>
    <row r="45" spans="2:21" ht="12.5">
      <c r="B45" s="145" t="str">
        <f t="shared" si="0"/>
        <v/>
      </c>
      <c r="C45" s="496">
        <f>IF(D11="","-",+C44+1)</f>
        <v>2042</v>
      </c>
      <c r="D45" s="509">
        <f>IF(F44+SUM(E$17:E44)=D$10,F44,D$10-SUM(E$17:E44))</f>
        <v>649611.50549196068</v>
      </c>
      <c r="E45" s="510">
        <f t="shared" si="7"/>
        <v>45478.658780487807</v>
      </c>
      <c r="F45" s="511">
        <f t="shared" si="8"/>
        <v>604132.84671147284</v>
      </c>
      <c r="G45" s="512">
        <f t="shared" si="9"/>
        <v>119130.51453164627</v>
      </c>
      <c r="H45" s="478">
        <f t="shared" si="10"/>
        <v>119130.51453164627</v>
      </c>
      <c r="I45" s="501">
        <f t="shared" si="6"/>
        <v>0</v>
      </c>
      <c r="J45" s="501"/>
      <c r="K45" s="513"/>
      <c r="L45" s="505">
        <f t="shared" si="11"/>
        <v>0</v>
      </c>
      <c r="M45" s="513"/>
      <c r="N45" s="505">
        <f t="shared" si="4"/>
        <v>0</v>
      </c>
      <c r="O45" s="505">
        <f t="shared" si="5"/>
        <v>0</v>
      </c>
      <c r="P45" s="279"/>
      <c r="R45" s="244"/>
      <c r="S45" s="244"/>
      <c r="T45" s="244"/>
      <c r="U45" s="244"/>
    </row>
    <row r="46" spans="2:21" ht="12.5">
      <c r="B46" s="145" t="str">
        <f t="shared" si="0"/>
        <v/>
      </c>
      <c r="C46" s="496">
        <f>IF(D11="","-",+C45+1)</f>
        <v>2043</v>
      </c>
      <c r="D46" s="509">
        <f>IF(F45+SUM(E$17:E45)=D$10,F45,D$10-SUM(E$17:E45))</f>
        <v>604132.84671147284</v>
      </c>
      <c r="E46" s="510">
        <f t="shared" si="7"/>
        <v>45478.658780487807</v>
      </c>
      <c r="F46" s="511">
        <f t="shared" si="8"/>
        <v>558654.187930985</v>
      </c>
      <c r="G46" s="512">
        <f t="shared" si="9"/>
        <v>113787.1802061599</v>
      </c>
      <c r="H46" s="478">
        <f t="shared" si="10"/>
        <v>113787.1802061599</v>
      </c>
      <c r="I46" s="501">
        <f t="shared" si="6"/>
        <v>0</v>
      </c>
      <c r="J46" s="501"/>
      <c r="K46" s="513"/>
      <c r="L46" s="505">
        <f t="shared" si="11"/>
        <v>0</v>
      </c>
      <c r="M46" s="513"/>
      <c r="N46" s="505">
        <f t="shared" si="4"/>
        <v>0</v>
      </c>
      <c r="O46" s="505">
        <f t="shared" si="5"/>
        <v>0</v>
      </c>
      <c r="P46" s="279"/>
      <c r="R46" s="244"/>
      <c r="S46" s="244"/>
      <c r="T46" s="244"/>
      <c r="U46" s="244"/>
    </row>
    <row r="47" spans="2:21" ht="12.5">
      <c r="B47" s="145" t="str">
        <f t="shared" si="0"/>
        <v/>
      </c>
      <c r="C47" s="496">
        <f>IF(D11="","-",+C46+1)</f>
        <v>2044</v>
      </c>
      <c r="D47" s="509">
        <f>IF(F46+SUM(E$17:E46)=D$10,F46,D$10-SUM(E$17:E46))</f>
        <v>558654.187930985</v>
      </c>
      <c r="E47" s="510">
        <f t="shared" si="7"/>
        <v>45478.658780487807</v>
      </c>
      <c r="F47" s="511">
        <f t="shared" si="8"/>
        <v>513175.52915049717</v>
      </c>
      <c r="G47" s="512">
        <f t="shared" si="9"/>
        <v>108443.8458806735</v>
      </c>
      <c r="H47" s="478">
        <f t="shared" si="10"/>
        <v>108443.8458806735</v>
      </c>
      <c r="I47" s="501">
        <f t="shared" si="6"/>
        <v>0</v>
      </c>
      <c r="J47" s="501"/>
      <c r="K47" s="513"/>
      <c r="L47" s="505">
        <f t="shared" si="11"/>
        <v>0</v>
      </c>
      <c r="M47" s="513"/>
      <c r="N47" s="505">
        <f t="shared" si="4"/>
        <v>0</v>
      </c>
      <c r="O47" s="505">
        <f t="shared" si="5"/>
        <v>0</v>
      </c>
      <c r="P47" s="279"/>
      <c r="R47" s="244"/>
      <c r="S47" s="244"/>
      <c r="T47" s="244"/>
      <c r="U47" s="244"/>
    </row>
    <row r="48" spans="2:21" ht="12.5">
      <c r="B48" s="145" t="str">
        <f t="shared" si="0"/>
        <v/>
      </c>
      <c r="C48" s="496">
        <f>IF(D11="","-",+C47+1)</f>
        <v>2045</v>
      </c>
      <c r="D48" s="509">
        <f>IF(F47+SUM(E$17:E47)=D$10,F47,D$10-SUM(E$17:E47))</f>
        <v>513175.52915049717</v>
      </c>
      <c r="E48" s="510">
        <f t="shared" si="7"/>
        <v>45478.658780487807</v>
      </c>
      <c r="F48" s="511">
        <f t="shared" si="8"/>
        <v>467696.87037000933</v>
      </c>
      <c r="G48" s="512">
        <f t="shared" si="9"/>
        <v>103100.51155518714</v>
      </c>
      <c r="H48" s="478">
        <f t="shared" si="10"/>
        <v>103100.51155518714</v>
      </c>
      <c r="I48" s="501">
        <f t="shared" si="6"/>
        <v>0</v>
      </c>
      <c r="J48" s="501"/>
      <c r="K48" s="513"/>
      <c r="L48" s="505">
        <f t="shared" si="11"/>
        <v>0</v>
      </c>
      <c r="M48" s="513"/>
      <c r="N48" s="505">
        <f t="shared" si="4"/>
        <v>0</v>
      </c>
      <c r="O48" s="505">
        <f t="shared" si="5"/>
        <v>0</v>
      </c>
      <c r="P48" s="279"/>
      <c r="R48" s="244"/>
      <c r="S48" s="244"/>
      <c r="T48" s="244"/>
      <c r="U48" s="244"/>
    </row>
    <row r="49" spans="2:21" ht="12.5">
      <c r="B49" s="145" t="str">
        <f t="shared" si="0"/>
        <v/>
      </c>
      <c r="C49" s="496">
        <f>IF(D11="","-",+C48+1)</f>
        <v>2046</v>
      </c>
      <c r="D49" s="509">
        <f>IF(F48+SUM(E$17:E48)=D$10,F48,D$10-SUM(E$17:E48))</f>
        <v>467696.87037000933</v>
      </c>
      <c r="E49" s="510">
        <f t="shared" si="7"/>
        <v>45478.658780487807</v>
      </c>
      <c r="F49" s="511">
        <f t="shared" si="8"/>
        <v>422218.2115895215</v>
      </c>
      <c r="G49" s="512">
        <f t="shared" si="9"/>
        <v>97757.177229700756</v>
      </c>
      <c r="H49" s="478">
        <f t="shared" si="10"/>
        <v>97757.177229700756</v>
      </c>
      <c r="I49" s="501">
        <f t="shared" si="6"/>
        <v>0</v>
      </c>
      <c r="J49" s="501"/>
      <c r="K49" s="513"/>
      <c r="L49" s="505">
        <f t="shared" si="11"/>
        <v>0</v>
      </c>
      <c r="M49" s="513"/>
      <c r="N49" s="505">
        <f t="shared" si="4"/>
        <v>0</v>
      </c>
      <c r="O49" s="505">
        <f t="shared" si="5"/>
        <v>0</v>
      </c>
      <c r="P49" s="279"/>
      <c r="R49" s="244"/>
      <c r="S49" s="244"/>
      <c r="T49" s="244"/>
      <c r="U49" s="244"/>
    </row>
    <row r="50" spans="2:21" ht="12.5">
      <c r="B50" s="145" t="str">
        <f t="shared" si="0"/>
        <v/>
      </c>
      <c r="C50" s="496">
        <f>IF(D11="","-",+C49+1)</f>
        <v>2047</v>
      </c>
      <c r="D50" s="509">
        <f>IF(F49+SUM(E$17:E49)=D$10,F49,D$10-SUM(E$17:E49))</f>
        <v>422218.2115895215</v>
      </c>
      <c r="E50" s="510">
        <f t="shared" si="7"/>
        <v>45478.658780487807</v>
      </c>
      <c r="F50" s="511">
        <f t="shared" si="8"/>
        <v>376739.55280903366</v>
      </c>
      <c r="G50" s="512">
        <f t="shared" si="9"/>
        <v>92413.842904214369</v>
      </c>
      <c r="H50" s="478">
        <f t="shared" si="10"/>
        <v>92413.842904214369</v>
      </c>
      <c r="I50" s="501">
        <f t="shared" si="6"/>
        <v>0</v>
      </c>
      <c r="J50" s="501"/>
      <c r="K50" s="513"/>
      <c r="L50" s="505">
        <f t="shared" si="11"/>
        <v>0</v>
      </c>
      <c r="M50" s="513"/>
      <c r="N50" s="505">
        <f t="shared" si="4"/>
        <v>0</v>
      </c>
      <c r="O50" s="505">
        <f t="shared" si="5"/>
        <v>0</v>
      </c>
      <c r="P50" s="279"/>
      <c r="R50" s="244"/>
      <c r="S50" s="244"/>
      <c r="T50" s="244"/>
      <c r="U50" s="244"/>
    </row>
    <row r="51" spans="2:21" ht="12.5">
      <c r="B51" s="145" t="str">
        <f t="shared" si="0"/>
        <v/>
      </c>
      <c r="C51" s="496">
        <f>IF(D11="","-",+C50+1)</f>
        <v>2048</v>
      </c>
      <c r="D51" s="509">
        <f>IF(F50+SUM(E$17:E50)=D$10,F50,D$10-SUM(E$17:E50))</f>
        <v>376739.55280903366</v>
      </c>
      <c r="E51" s="510">
        <f t="shared" si="7"/>
        <v>45478.658780487807</v>
      </c>
      <c r="F51" s="511">
        <f t="shared" si="8"/>
        <v>331260.89402854582</v>
      </c>
      <c r="G51" s="512">
        <f t="shared" si="9"/>
        <v>87070.508578727982</v>
      </c>
      <c r="H51" s="478">
        <f t="shared" si="10"/>
        <v>87070.508578727982</v>
      </c>
      <c r="I51" s="501">
        <f t="shared" si="6"/>
        <v>0</v>
      </c>
      <c r="J51" s="501"/>
      <c r="K51" s="513"/>
      <c r="L51" s="505">
        <f t="shared" si="11"/>
        <v>0</v>
      </c>
      <c r="M51" s="513"/>
      <c r="N51" s="505">
        <f t="shared" si="4"/>
        <v>0</v>
      </c>
      <c r="O51" s="505">
        <f t="shared" si="5"/>
        <v>0</v>
      </c>
      <c r="P51" s="279"/>
      <c r="R51" s="244"/>
      <c r="S51" s="244"/>
      <c r="T51" s="244"/>
      <c r="U51" s="244"/>
    </row>
    <row r="52" spans="2:21" ht="12.5">
      <c r="B52" s="145" t="str">
        <f t="shared" si="0"/>
        <v/>
      </c>
      <c r="C52" s="496">
        <f>IF(D11="","-",+C51+1)</f>
        <v>2049</v>
      </c>
      <c r="D52" s="509">
        <f>IF(F51+SUM(E$17:E51)=D$10,F51,D$10-SUM(E$17:E51))</f>
        <v>331260.89402854582</v>
      </c>
      <c r="E52" s="510">
        <f t="shared" si="7"/>
        <v>45478.658780487807</v>
      </c>
      <c r="F52" s="511">
        <f t="shared" si="8"/>
        <v>285782.23524805799</v>
      </c>
      <c r="G52" s="512">
        <f t="shared" si="9"/>
        <v>81727.17425324161</v>
      </c>
      <c r="H52" s="478">
        <f t="shared" si="10"/>
        <v>81727.17425324161</v>
      </c>
      <c r="I52" s="501">
        <f t="shared" si="6"/>
        <v>0</v>
      </c>
      <c r="J52" s="501"/>
      <c r="K52" s="513"/>
      <c r="L52" s="505">
        <f t="shared" si="11"/>
        <v>0</v>
      </c>
      <c r="M52" s="513"/>
      <c r="N52" s="505">
        <f t="shared" si="4"/>
        <v>0</v>
      </c>
      <c r="O52" s="505">
        <f t="shared" si="5"/>
        <v>0</v>
      </c>
      <c r="P52" s="279"/>
      <c r="R52" s="244"/>
      <c r="S52" s="244"/>
      <c r="T52" s="244"/>
      <c r="U52" s="244"/>
    </row>
    <row r="53" spans="2:21" ht="12.5">
      <c r="B53" s="145" t="str">
        <f t="shared" si="0"/>
        <v/>
      </c>
      <c r="C53" s="496">
        <f>IF(D11="","-",+C52+1)</f>
        <v>2050</v>
      </c>
      <c r="D53" s="509">
        <f>IF(F52+SUM(E$17:E52)=D$10,F52,D$10-SUM(E$17:E52))</f>
        <v>285782.23524805799</v>
      </c>
      <c r="E53" s="510">
        <f t="shared" si="7"/>
        <v>45478.658780487807</v>
      </c>
      <c r="F53" s="511">
        <f t="shared" si="8"/>
        <v>240303.57646757018</v>
      </c>
      <c r="G53" s="512">
        <f t="shared" si="9"/>
        <v>76383.839927755223</v>
      </c>
      <c r="H53" s="478">
        <f t="shared" si="10"/>
        <v>76383.839927755223</v>
      </c>
      <c r="I53" s="501">
        <f t="shared" si="6"/>
        <v>0</v>
      </c>
      <c r="J53" s="501"/>
      <c r="K53" s="513"/>
      <c r="L53" s="505">
        <f t="shared" si="11"/>
        <v>0</v>
      </c>
      <c r="M53" s="513"/>
      <c r="N53" s="505">
        <f t="shared" si="4"/>
        <v>0</v>
      </c>
      <c r="O53" s="505">
        <f t="shared" si="5"/>
        <v>0</v>
      </c>
      <c r="P53" s="279"/>
      <c r="R53" s="244"/>
      <c r="S53" s="244"/>
      <c r="T53" s="244"/>
      <c r="U53" s="244"/>
    </row>
    <row r="54" spans="2:21" ht="12.5">
      <c r="B54" s="145" t="str">
        <f t="shared" si="0"/>
        <v/>
      </c>
      <c r="C54" s="496">
        <f>IF(D11="","-",+C53+1)</f>
        <v>2051</v>
      </c>
      <c r="D54" s="509">
        <f>IF(F53+SUM(E$17:E53)=D$10,F53,D$10-SUM(E$17:E53))</f>
        <v>240303.57646757018</v>
      </c>
      <c r="E54" s="510">
        <f t="shared" si="7"/>
        <v>45478.658780487807</v>
      </c>
      <c r="F54" s="511">
        <f t="shared" si="8"/>
        <v>194824.91768708237</v>
      </c>
      <c r="G54" s="512">
        <f t="shared" si="9"/>
        <v>71040.505602268851</v>
      </c>
      <c r="H54" s="478">
        <f t="shared" si="10"/>
        <v>71040.505602268851</v>
      </c>
      <c r="I54" s="501">
        <f t="shared" si="6"/>
        <v>0</v>
      </c>
      <c r="J54" s="501"/>
      <c r="K54" s="513"/>
      <c r="L54" s="505">
        <f t="shared" si="11"/>
        <v>0</v>
      </c>
      <c r="M54" s="513"/>
      <c r="N54" s="505">
        <f t="shared" si="4"/>
        <v>0</v>
      </c>
      <c r="O54" s="505">
        <f t="shared" si="5"/>
        <v>0</v>
      </c>
      <c r="P54" s="279"/>
      <c r="R54" s="244"/>
      <c r="S54" s="244"/>
      <c r="T54" s="244"/>
      <c r="U54" s="244"/>
    </row>
    <row r="55" spans="2:21" ht="12.5">
      <c r="B55" s="145" t="str">
        <f t="shared" si="0"/>
        <v/>
      </c>
      <c r="C55" s="496">
        <f>IF(D11="","-",+C54+1)</f>
        <v>2052</v>
      </c>
      <c r="D55" s="509">
        <f>IF(F54+SUM(E$17:E54)=D$10,F54,D$10-SUM(E$17:E54))</f>
        <v>194824.91768708237</v>
      </c>
      <c r="E55" s="510">
        <f t="shared" si="7"/>
        <v>45478.658780487807</v>
      </c>
      <c r="F55" s="511">
        <f t="shared" si="8"/>
        <v>149346.25890659456</v>
      </c>
      <c r="G55" s="512">
        <f t="shared" si="9"/>
        <v>65697.171276782465</v>
      </c>
      <c r="H55" s="478">
        <f t="shared" si="10"/>
        <v>65697.171276782465</v>
      </c>
      <c r="I55" s="501">
        <f t="shared" si="6"/>
        <v>0</v>
      </c>
      <c r="J55" s="501"/>
      <c r="K55" s="513"/>
      <c r="L55" s="505">
        <f t="shared" si="11"/>
        <v>0</v>
      </c>
      <c r="M55" s="513"/>
      <c r="N55" s="505">
        <f t="shared" si="4"/>
        <v>0</v>
      </c>
      <c r="O55" s="505">
        <f t="shared" si="5"/>
        <v>0</v>
      </c>
      <c r="P55" s="279"/>
      <c r="R55" s="244"/>
      <c r="S55" s="244"/>
      <c r="T55" s="244"/>
      <c r="U55" s="244"/>
    </row>
    <row r="56" spans="2:21" ht="12.5">
      <c r="B56" s="145" t="str">
        <f t="shared" si="0"/>
        <v/>
      </c>
      <c r="C56" s="496">
        <f>IF(D11="","-",+C55+1)</f>
        <v>2053</v>
      </c>
      <c r="D56" s="509">
        <f>IF(F55+SUM(E$17:E55)=D$10,F55,D$10-SUM(E$17:E55))</f>
        <v>149346.25890659456</v>
      </c>
      <c r="E56" s="510">
        <f t="shared" si="7"/>
        <v>45478.658780487807</v>
      </c>
      <c r="F56" s="511">
        <f t="shared" si="8"/>
        <v>103867.60012610676</v>
      </c>
      <c r="G56" s="512">
        <f t="shared" si="9"/>
        <v>60353.836951296093</v>
      </c>
      <c r="H56" s="478">
        <f t="shared" si="10"/>
        <v>60353.836951296093</v>
      </c>
      <c r="I56" s="501">
        <f t="shared" si="6"/>
        <v>0</v>
      </c>
      <c r="J56" s="501"/>
      <c r="K56" s="513"/>
      <c r="L56" s="505">
        <f t="shared" si="11"/>
        <v>0</v>
      </c>
      <c r="M56" s="513"/>
      <c r="N56" s="505">
        <f t="shared" si="4"/>
        <v>0</v>
      </c>
      <c r="O56" s="505">
        <f t="shared" si="5"/>
        <v>0</v>
      </c>
      <c r="P56" s="279"/>
      <c r="R56" s="244"/>
      <c r="S56" s="244"/>
      <c r="T56" s="244"/>
      <c r="U56" s="244"/>
    </row>
    <row r="57" spans="2:21" ht="12.5">
      <c r="B57" s="145" t="str">
        <f t="shared" si="0"/>
        <v/>
      </c>
      <c r="C57" s="496">
        <f>IF(D11="","-",+C56+1)</f>
        <v>2054</v>
      </c>
      <c r="D57" s="509">
        <f>IF(F56+SUM(E$17:E56)=D$10,F56,D$10-SUM(E$17:E56))</f>
        <v>103867.60012610676</v>
      </c>
      <c r="E57" s="510">
        <f t="shared" si="7"/>
        <v>45478.658780487807</v>
      </c>
      <c r="F57" s="511">
        <f t="shared" si="8"/>
        <v>58388.94134561895</v>
      </c>
      <c r="G57" s="512">
        <f t="shared" si="9"/>
        <v>55010.50262580972</v>
      </c>
      <c r="H57" s="478">
        <f t="shared" si="10"/>
        <v>55010.50262580972</v>
      </c>
      <c r="I57" s="501">
        <f t="shared" si="6"/>
        <v>0</v>
      </c>
      <c r="J57" s="501"/>
      <c r="K57" s="513"/>
      <c r="L57" s="505">
        <f t="shared" si="11"/>
        <v>0</v>
      </c>
      <c r="M57" s="513"/>
      <c r="N57" s="505">
        <f t="shared" si="4"/>
        <v>0</v>
      </c>
      <c r="O57" s="505">
        <f t="shared" si="5"/>
        <v>0</v>
      </c>
      <c r="P57" s="279"/>
      <c r="R57" s="244"/>
      <c r="S57" s="244"/>
      <c r="T57" s="244"/>
      <c r="U57" s="244"/>
    </row>
    <row r="58" spans="2:21" ht="12.5">
      <c r="B58" s="145" t="str">
        <f t="shared" si="0"/>
        <v/>
      </c>
      <c r="C58" s="496">
        <f>IF(D11="","-",+C57+1)</f>
        <v>2055</v>
      </c>
      <c r="D58" s="509">
        <f>IF(F57+SUM(E$17:E57)=D$10,F57,D$10-SUM(E$17:E57))</f>
        <v>58388.94134561895</v>
      </c>
      <c r="E58" s="510">
        <f t="shared" si="7"/>
        <v>45478.658780487807</v>
      </c>
      <c r="F58" s="511">
        <f t="shared" si="8"/>
        <v>12910.282565131143</v>
      </c>
      <c r="G58" s="512">
        <f t="shared" si="9"/>
        <v>49667.168300323341</v>
      </c>
      <c r="H58" s="478">
        <f t="shared" si="10"/>
        <v>49667.168300323341</v>
      </c>
      <c r="I58" s="501">
        <f t="shared" si="6"/>
        <v>0</v>
      </c>
      <c r="J58" s="501"/>
      <c r="K58" s="513"/>
      <c r="L58" s="505">
        <f t="shared" si="11"/>
        <v>0</v>
      </c>
      <c r="M58" s="513"/>
      <c r="N58" s="505">
        <f t="shared" si="4"/>
        <v>0</v>
      </c>
      <c r="O58" s="505">
        <f t="shared" si="5"/>
        <v>0</v>
      </c>
      <c r="P58" s="279"/>
      <c r="R58" s="244"/>
      <c r="S58" s="244"/>
      <c r="T58" s="244"/>
      <c r="U58" s="244"/>
    </row>
    <row r="59" spans="2:21" ht="12.5">
      <c r="B59" s="145" t="str">
        <f t="shared" si="0"/>
        <v/>
      </c>
      <c r="C59" s="496">
        <f>IF(D11="","-",+C58+1)</f>
        <v>2056</v>
      </c>
      <c r="D59" s="509">
        <f>IF(F58+SUM(E$17:E58)=D$10,F58,D$10-SUM(E$17:E58))</f>
        <v>12910.282565131143</v>
      </c>
      <c r="E59" s="510">
        <f t="shared" si="7"/>
        <v>12910.282565131143</v>
      </c>
      <c r="F59" s="511">
        <f t="shared" si="8"/>
        <v>0</v>
      </c>
      <c r="G59" s="512">
        <f t="shared" si="9"/>
        <v>13668.703743677315</v>
      </c>
      <c r="H59" s="478">
        <f t="shared" si="10"/>
        <v>13668.703743677315</v>
      </c>
      <c r="I59" s="501">
        <f t="shared" si="6"/>
        <v>0</v>
      </c>
      <c r="J59" s="501"/>
      <c r="K59" s="513"/>
      <c r="L59" s="505">
        <f t="shared" si="11"/>
        <v>0</v>
      </c>
      <c r="M59" s="513"/>
      <c r="N59" s="505">
        <f t="shared" si="4"/>
        <v>0</v>
      </c>
      <c r="O59" s="505">
        <f t="shared" si="5"/>
        <v>0</v>
      </c>
      <c r="P59" s="279"/>
      <c r="R59" s="244"/>
      <c r="S59" s="244"/>
      <c r="T59" s="244"/>
      <c r="U59" s="244"/>
    </row>
    <row r="60" spans="2:21" ht="12.5">
      <c r="B60" s="145" t="str">
        <f t="shared" si="0"/>
        <v/>
      </c>
      <c r="C60" s="496">
        <f>IF(D11="","-",+C59+1)</f>
        <v>2057</v>
      </c>
      <c r="D60" s="509">
        <f>IF(F59+SUM(E$17:E59)=D$10,F59,D$10-SUM(E$17:E59))</f>
        <v>0</v>
      </c>
      <c r="E60" s="510">
        <f t="shared" si="7"/>
        <v>0</v>
      </c>
      <c r="F60" s="511">
        <f t="shared" si="8"/>
        <v>0</v>
      </c>
      <c r="G60" s="512">
        <f t="shared" si="9"/>
        <v>0</v>
      </c>
      <c r="H60" s="478">
        <f t="shared" si="10"/>
        <v>0</v>
      </c>
      <c r="I60" s="501">
        <f t="shared" si="6"/>
        <v>0</v>
      </c>
      <c r="J60" s="501"/>
      <c r="K60" s="513"/>
      <c r="L60" s="505">
        <f t="shared" si="11"/>
        <v>0</v>
      </c>
      <c r="M60" s="513"/>
      <c r="N60" s="505">
        <f t="shared" si="4"/>
        <v>0</v>
      </c>
      <c r="O60" s="505">
        <f t="shared" si="5"/>
        <v>0</v>
      </c>
      <c r="P60" s="279"/>
      <c r="R60" s="244"/>
      <c r="S60" s="244"/>
      <c r="T60" s="244"/>
      <c r="U60" s="244"/>
    </row>
    <row r="61" spans="2:21" ht="12.5">
      <c r="B61" s="145" t="str">
        <f t="shared" si="0"/>
        <v/>
      </c>
      <c r="C61" s="496">
        <f>IF(D11="","-",+C60+1)</f>
        <v>2058</v>
      </c>
      <c r="D61" s="509">
        <f>IF(F60+SUM(E$17:E60)=D$10,F60,D$10-SUM(E$17:E60))</f>
        <v>0</v>
      </c>
      <c r="E61" s="510">
        <f t="shared" si="7"/>
        <v>0</v>
      </c>
      <c r="F61" s="511">
        <f t="shared" si="8"/>
        <v>0</v>
      </c>
      <c r="G61" s="512">
        <f t="shared" si="9"/>
        <v>0</v>
      </c>
      <c r="H61" s="478">
        <f t="shared" si="10"/>
        <v>0</v>
      </c>
      <c r="I61" s="501">
        <f t="shared" si="6"/>
        <v>0</v>
      </c>
      <c r="J61" s="501"/>
      <c r="K61" s="513"/>
      <c r="L61" s="505">
        <f t="shared" si="11"/>
        <v>0</v>
      </c>
      <c r="M61" s="513"/>
      <c r="N61" s="505">
        <f t="shared" si="4"/>
        <v>0</v>
      </c>
      <c r="O61" s="505">
        <f t="shared" si="5"/>
        <v>0</v>
      </c>
      <c r="P61" s="279"/>
      <c r="R61" s="244"/>
      <c r="S61" s="244"/>
      <c r="T61" s="244"/>
      <c r="U61" s="244"/>
    </row>
    <row r="62" spans="2:21" ht="12.5">
      <c r="B62" s="145" t="str">
        <f t="shared" si="0"/>
        <v/>
      </c>
      <c r="C62" s="496">
        <f>IF(D11="","-",+C61+1)</f>
        <v>2059</v>
      </c>
      <c r="D62" s="509">
        <f>IF(F61+SUM(E$17:E61)=D$10,F61,D$10-SUM(E$17:E61))</f>
        <v>0</v>
      </c>
      <c r="E62" s="510">
        <f t="shared" si="7"/>
        <v>0</v>
      </c>
      <c r="F62" s="511">
        <f t="shared" si="8"/>
        <v>0</v>
      </c>
      <c r="G62" s="512">
        <f t="shared" si="9"/>
        <v>0</v>
      </c>
      <c r="H62" s="478">
        <f t="shared" si="10"/>
        <v>0</v>
      </c>
      <c r="I62" s="501">
        <f t="shared" si="6"/>
        <v>0</v>
      </c>
      <c r="J62" s="501"/>
      <c r="K62" s="513"/>
      <c r="L62" s="505">
        <f t="shared" si="11"/>
        <v>0</v>
      </c>
      <c r="M62" s="513"/>
      <c r="N62" s="505">
        <f t="shared" si="4"/>
        <v>0</v>
      </c>
      <c r="O62" s="505">
        <f t="shared" si="5"/>
        <v>0</v>
      </c>
      <c r="P62" s="279"/>
      <c r="R62" s="244"/>
      <c r="S62" s="244"/>
      <c r="T62" s="244"/>
      <c r="U62" s="244"/>
    </row>
    <row r="63" spans="2:21" ht="12.5">
      <c r="B63" s="145" t="str">
        <f t="shared" si="0"/>
        <v/>
      </c>
      <c r="C63" s="496">
        <f>IF(D11="","-",+C62+1)</f>
        <v>2060</v>
      </c>
      <c r="D63" s="509">
        <f>IF(F62+SUM(E$17:E62)=D$10,F62,D$10-SUM(E$17:E62))</f>
        <v>0</v>
      </c>
      <c r="E63" s="510">
        <f t="shared" si="7"/>
        <v>0</v>
      </c>
      <c r="F63" s="511">
        <f t="shared" si="8"/>
        <v>0</v>
      </c>
      <c r="G63" s="512">
        <f t="shared" si="9"/>
        <v>0</v>
      </c>
      <c r="H63" s="478">
        <f t="shared" si="10"/>
        <v>0</v>
      </c>
      <c r="I63" s="501">
        <f t="shared" si="6"/>
        <v>0</v>
      </c>
      <c r="J63" s="501"/>
      <c r="K63" s="513"/>
      <c r="L63" s="505">
        <f t="shared" si="11"/>
        <v>0</v>
      </c>
      <c r="M63" s="513"/>
      <c r="N63" s="505">
        <f t="shared" si="4"/>
        <v>0</v>
      </c>
      <c r="O63" s="505">
        <f t="shared" si="5"/>
        <v>0</v>
      </c>
      <c r="P63" s="279"/>
      <c r="R63" s="244"/>
      <c r="S63" s="244"/>
      <c r="T63" s="244"/>
      <c r="U63" s="244"/>
    </row>
    <row r="64" spans="2:21" ht="12.5">
      <c r="B64" s="145" t="str">
        <f t="shared" si="0"/>
        <v/>
      </c>
      <c r="C64" s="496">
        <f>IF(D11="","-",+C63+1)</f>
        <v>2061</v>
      </c>
      <c r="D64" s="509">
        <f>IF(F63+SUM(E$17:E63)=D$10,F63,D$10-SUM(E$17:E63))</f>
        <v>0</v>
      </c>
      <c r="E64" s="510">
        <f t="shared" si="7"/>
        <v>0</v>
      </c>
      <c r="F64" s="511">
        <f t="shared" si="8"/>
        <v>0</v>
      </c>
      <c r="G64" s="512">
        <f t="shared" si="9"/>
        <v>0</v>
      </c>
      <c r="H64" s="478">
        <f t="shared" si="10"/>
        <v>0</v>
      </c>
      <c r="I64" s="501">
        <f t="shared" si="6"/>
        <v>0</v>
      </c>
      <c r="J64" s="501"/>
      <c r="K64" s="513"/>
      <c r="L64" s="505">
        <f t="shared" si="11"/>
        <v>0</v>
      </c>
      <c r="M64" s="513"/>
      <c r="N64" s="505">
        <f t="shared" si="4"/>
        <v>0</v>
      </c>
      <c r="O64" s="505">
        <f t="shared" si="5"/>
        <v>0</v>
      </c>
      <c r="P64" s="279"/>
      <c r="R64" s="244"/>
      <c r="S64" s="244"/>
      <c r="T64" s="244"/>
      <c r="U64" s="244"/>
    </row>
    <row r="65" spans="2:21" ht="12.5">
      <c r="B65" s="145" t="str">
        <f t="shared" si="0"/>
        <v/>
      </c>
      <c r="C65" s="496">
        <f>IF(D11="","-",+C64+1)</f>
        <v>2062</v>
      </c>
      <c r="D65" s="509">
        <f>IF(F64+SUM(E$17:E64)=D$10,F64,D$10-SUM(E$17:E64))</f>
        <v>0</v>
      </c>
      <c r="E65" s="510">
        <f t="shared" si="7"/>
        <v>0</v>
      </c>
      <c r="F65" s="511">
        <f t="shared" si="8"/>
        <v>0</v>
      </c>
      <c r="G65" s="512">
        <f t="shared" si="9"/>
        <v>0</v>
      </c>
      <c r="H65" s="478">
        <f t="shared" si="10"/>
        <v>0</v>
      </c>
      <c r="I65" s="501">
        <f t="shared" si="6"/>
        <v>0</v>
      </c>
      <c r="J65" s="501"/>
      <c r="K65" s="513"/>
      <c r="L65" s="505">
        <f t="shared" si="11"/>
        <v>0</v>
      </c>
      <c r="M65" s="513"/>
      <c r="N65" s="505">
        <f t="shared" si="4"/>
        <v>0</v>
      </c>
      <c r="O65" s="505">
        <f t="shared" si="5"/>
        <v>0</v>
      </c>
      <c r="P65" s="279"/>
      <c r="R65" s="244"/>
      <c r="S65" s="244"/>
      <c r="T65" s="244"/>
      <c r="U65" s="244"/>
    </row>
    <row r="66" spans="2:21" ht="12.5">
      <c r="B66" s="145" t="str">
        <f t="shared" si="0"/>
        <v/>
      </c>
      <c r="C66" s="496">
        <f>IF(D11="","-",+C65+1)</f>
        <v>2063</v>
      </c>
      <c r="D66" s="509">
        <f>IF(F65+SUM(E$17:E65)=D$10,F65,D$10-SUM(E$17:E65))</f>
        <v>0</v>
      </c>
      <c r="E66" s="510">
        <f t="shared" si="7"/>
        <v>0</v>
      </c>
      <c r="F66" s="511">
        <f t="shared" si="8"/>
        <v>0</v>
      </c>
      <c r="G66" s="512">
        <f t="shared" si="9"/>
        <v>0</v>
      </c>
      <c r="H66" s="478">
        <f t="shared" si="10"/>
        <v>0</v>
      </c>
      <c r="I66" s="501">
        <f t="shared" si="6"/>
        <v>0</v>
      </c>
      <c r="J66" s="501"/>
      <c r="K66" s="513"/>
      <c r="L66" s="505">
        <f t="shared" si="11"/>
        <v>0</v>
      </c>
      <c r="M66" s="513"/>
      <c r="N66" s="505">
        <f t="shared" si="4"/>
        <v>0</v>
      </c>
      <c r="O66" s="505">
        <f t="shared" si="5"/>
        <v>0</v>
      </c>
      <c r="P66" s="279"/>
      <c r="R66" s="244"/>
      <c r="S66" s="244"/>
      <c r="T66" s="244"/>
      <c r="U66" s="244"/>
    </row>
    <row r="67" spans="2:21" ht="12.5">
      <c r="B67" s="145" t="str">
        <f t="shared" si="0"/>
        <v/>
      </c>
      <c r="C67" s="496">
        <f>IF(D11="","-",+C66+1)</f>
        <v>2064</v>
      </c>
      <c r="D67" s="509">
        <f>IF(F66+SUM(E$17:E66)=D$10,F66,D$10-SUM(E$17:E66))</f>
        <v>0</v>
      </c>
      <c r="E67" s="510">
        <f t="shared" si="7"/>
        <v>0</v>
      </c>
      <c r="F67" s="511">
        <f t="shared" si="8"/>
        <v>0</v>
      </c>
      <c r="G67" s="512">
        <f t="shared" si="9"/>
        <v>0</v>
      </c>
      <c r="H67" s="478">
        <f t="shared" si="10"/>
        <v>0</v>
      </c>
      <c r="I67" s="501">
        <f t="shared" si="6"/>
        <v>0</v>
      </c>
      <c r="J67" s="501"/>
      <c r="K67" s="513"/>
      <c r="L67" s="505">
        <f t="shared" si="11"/>
        <v>0</v>
      </c>
      <c r="M67" s="513"/>
      <c r="N67" s="505">
        <f t="shared" si="4"/>
        <v>0</v>
      </c>
      <c r="O67" s="505">
        <f t="shared" si="5"/>
        <v>0</v>
      </c>
      <c r="P67" s="279"/>
      <c r="R67" s="244"/>
      <c r="S67" s="244"/>
      <c r="T67" s="244"/>
      <c r="U67" s="244"/>
    </row>
    <row r="68" spans="2:21" ht="12.5">
      <c r="B68" s="145" t="str">
        <f t="shared" si="0"/>
        <v/>
      </c>
      <c r="C68" s="496">
        <f>IF(D11="","-",+C67+1)</f>
        <v>2065</v>
      </c>
      <c r="D68" s="509">
        <f>IF(F67+SUM(E$17:E67)=D$10,F67,D$10-SUM(E$17:E67))</f>
        <v>0</v>
      </c>
      <c r="E68" s="510">
        <f t="shared" si="7"/>
        <v>0</v>
      </c>
      <c r="F68" s="511">
        <f t="shared" si="8"/>
        <v>0</v>
      </c>
      <c r="G68" s="512">
        <f t="shared" si="9"/>
        <v>0</v>
      </c>
      <c r="H68" s="478">
        <f t="shared" si="10"/>
        <v>0</v>
      </c>
      <c r="I68" s="501">
        <f t="shared" si="6"/>
        <v>0</v>
      </c>
      <c r="J68" s="501"/>
      <c r="K68" s="513"/>
      <c r="L68" s="505">
        <f t="shared" si="11"/>
        <v>0</v>
      </c>
      <c r="M68" s="513"/>
      <c r="N68" s="505">
        <f t="shared" si="4"/>
        <v>0</v>
      </c>
      <c r="O68" s="505">
        <f t="shared" si="5"/>
        <v>0</v>
      </c>
      <c r="P68" s="279"/>
      <c r="R68" s="244"/>
      <c r="S68" s="244"/>
      <c r="T68" s="244"/>
      <c r="U68" s="244"/>
    </row>
    <row r="69" spans="2:21" ht="12.5">
      <c r="B69" s="145" t="str">
        <f t="shared" si="0"/>
        <v/>
      </c>
      <c r="C69" s="496">
        <f>IF(D11="","-",+C68+1)</f>
        <v>2066</v>
      </c>
      <c r="D69" s="509">
        <f>IF(F68+SUM(E$17:E68)=D$10,F68,D$10-SUM(E$17:E68))</f>
        <v>0</v>
      </c>
      <c r="E69" s="510">
        <f t="shared" si="7"/>
        <v>0</v>
      </c>
      <c r="F69" s="511">
        <f t="shared" si="8"/>
        <v>0</v>
      </c>
      <c r="G69" s="512">
        <f t="shared" si="9"/>
        <v>0</v>
      </c>
      <c r="H69" s="478">
        <f t="shared" si="10"/>
        <v>0</v>
      </c>
      <c r="I69" s="501">
        <f t="shared" si="6"/>
        <v>0</v>
      </c>
      <c r="J69" s="501"/>
      <c r="K69" s="513"/>
      <c r="L69" s="505">
        <f t="shared" si="11"/>
        <v>0</v>
      </c>
      <c r="M69" s="513"/>
      <c r="N69" s="505">
        <f t="shared" si="4"/>
        <v>0</v>
      </c>
      <c r="O69" s="505">
        <f t="shared" si="5"/>
        <v>0</v>
      </c>
      <c r="P69" s="279"/>
      <c r="R69" s="244"/>
      <c r="S69" s="244"/>
      <c r="T69" s="244"/>
      <c r="U69" s="244"/>
    </row>
    <row r="70" spans="2:21" ht="12.5">
      <c r="B70" s="145" t="str">
        <f t="shared" si="0"/>
        <v/>
      </c>
      <c r="C70" s="496">
        <f>IF(D11="","-",+C69+1)</f>
        <v>2067</v>
      </c>
      <c r="D70" s="509">
        <f>IF(F69+SUM(E$17:E69)=D$10,F69,D$10-SUM(E$17:E69))</f>
        <v>0</v>
      </c>
      <c r="E70" s="510">
        <f t="shared" si="7"/>
        <v>0</v>
      </c>
      <c r="F70" s="511">
        <f t="shared" si="8"/>
        <v>0</v>
      </c>
      <c r="G70" s="512">
        <f t="shared" si="9"/>
        <v>0</v>
      </c>
      <c r="H70" s="478">
        <f t="shared" si="10"/>
        <v>0</v>
      </c>
      <c r="I70" s="501">
        <f t="shared" si="6"/>
        <v>0</v>
      </c>
      <c r="J70" s="501"/>
      <c r="K70" s="513"/>
      <c r="L70" s="505">
        <f t="shared" si="11"/>
        <v>0</v>
      </c>
      <c r="M70" s="513"/>
      <c r="N70" s="505">
        <f t="shared" si="4"/>
        <v>0</v>
      </c>
      <c r="O70" s="505">
        <f t="shared" si="5"/>
        <v>0</v>
      </c>
      <c r="P70" s="279"/>
      <c r="R70" s="244"/>
      <c r="S70" s="244"/>
      <c r="T70" s="244"/>
      <c r="U70" s="244"/>
    </row>
    <row r="71" spans="2:21" ht="12.5">
      <c r="B71" s="145" t="str">
        <f t="shared" si="0"/>
        <v/>
      </c>
      <c r="C71" s="496">
        <f>IF(D11="","-",+C70+1)</f>
        <v>2068</v>
      </c>
      <c r="D71" s="509">
        <f>IF(F70+SUM(E$17:E70)=D$10,F70,D$10-SUM(E$17:E70))</f>
        <v>0</v>
      </c>
      <c r="E71" s="510">
        <f t="shared" si="7"/>
        <v>0</v>
      </c>
      <c r="F71" s="511">
        <f t="shared" si="8"/>
        <v>0</v>
      </c>
      <c r="G71" s="512">
        <f t="shared" si="9"/>
        <v>0</v>
      </c>
      <c r="H71" s="478">
        <f t="shared" si="10"/>
        <v>0</v>
      </c>
      <c r="I71" s="501">
        <f t="shared" si="6"/>
        <v>0</v>
      </c>
      <c r="J71" s="501"/>
      <c r="K71" s="513"/>
      <c r="L71" s="505">
        <f t="shared" si="11"/>
        <v>0</v>
      </c>
      <c r="M71" s="513"/>
      <c r="N71" s="505">
        <f t="shared" si="4"/>
        <v>0</v>
      </c>
      <c r="O71" s="505">
        <f t="shared" si="5"/>
        <v>0</v>
      </c>
      <c r="P71" s="279"/>
      <c r="R71" s="244"/>
      <c r="S71" s="244"/>
      <c r="T71" s="244"/>
      <c r="U71" s="244"/>
    </row>
    <row r="72" spans="2:21" ht="12.5">
      <c r="B72" s="145" t="str">
        <f t="shared" si="0"/>
        <v/>
      </c>
      <c r="C72" s="496">
        <f>IF(D11="","-",+C71+1)</f>
        <v>2069</v>
      </c>
      <c r="D72" s="509">
        <f>IF(F71+SUM(E$17:E71)=D$10,F71,D$10-SUM(E$17:E71))</f>
        <v>0</v>
      </c>
      <c r="E72" s="510">
        <f t="shared" si="7"/>
        <v>0</v>
      </c>
      <c r="F72" s="511">
        <f t="shared" si="8"/>
        <v>0</v>
      </c>
      <c r="G72" s="512">
        <f t="shared" si="9"/>
        <v>0</v>
      </c>
      <c r="H72" s="478">
        <f t="shared" si="10"/>
        <v>0</v>
      </c>
      <c r="I72" s="501">
        <f t="shared" si="6"/>
        <v>0</v>
      </c>
      <c r="J72" s="501"/>
      <c r="K72" s="513"/>
      <c r="L72" s="505">
        <f t="shared" si="11"/>
        <v>0</v>
      </c>
      <c r="M72" s="513"/>
      <c r="N72" s="505">
        <f t="shared" si="4"/>
        <v>0</v>
      </c>
      <c r="O72" s="505">
        <f t="shared" si="5"/>
        <v>0</v>
      </c>
      <c r="P72" s="279"/>
      <c r="R72" s="244"/>
      <c r="S72" s="244"/>
      <c r="T72" s="244"/>
      <c r="U72" s="244"/>
    </row>
    <row r="73" spans="2:21" ht="13" thickBot="1">
      <c r="B73" s="145" t="str">
        <f t="shared" si="0"/>
        <v/>
      </c>
      <c r="C73" s="525">
        <f>IF(D11="","-",+C72+1)</f>
        <v>2070</v>
      </c>
      <c r="D73" s="526">
        <f>IF(F72+SUM(E$17:E72)=D$10,F72,D$10-SUM(E$17:E72))</f>
        <v>0</v>
      </c>
      <c r="E73" s="527">
        <f t="shared" si="7"/>
        <v>0</v>
      </c>
      <c r="F73" s="528">
        <f t="shared" si="8"/>
        <v>0</v>
      </c>
      <c r="G73" s="612">
        <f t="shared" si="9"/>
        <v>0</v>
      </c>
      <c r="H73" s="459">
        <f t="shared" si="10"/>
        <v>0</v>
      </c>
      <c r="I73" s="530">
        <f t="shared" si="6"/>
        <v>0</v>
      </c>
      <c r="J73" s="501"/>
      <c r="K73" s="531"/>
      <c r="L73" s="532">
        <f t="shared" si="11"/>
        <v>0</v>
      </c>
      <c r="M73" s="531"/>
      <c r="N73" s="532">
        <f t="shared" si="4"/>
        <v>0</v>
      </c>
      <c r="O73" s="532">
        <f t="shared" si="5"/>
        <v>0</v>
      </c>
      <c r="P73" s="279"/>
      <c r="R73" s="244"/>
      <c r="S73" s="244"/>
      <c r="T73" s="244"/>
      <c r="U73" s="244"/>
    </row>
    <row r="74" spans="2:21" ht="12.5">
      <c r="C74" s="350" t="s">
        <v>75</v>
      </c>
      <c r="D74" s="295"/>
      <c r="E74" s="295">
        <f>SUM(E17:E73)</f>
        <v>1864625.0099999993</v>
      </c>
      <c r="F74" s="295"/>
      <c r="G74" s="295">
        <f>SUM(G17:G73)</f>
        <v>6227498.8937152959</v>
      </c>
      <c r="H74" s="295">
        <f>SUM(H17:H73)</f>
        <v>6227498.8937152959</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439" t="str">
        <f ca="1">P1</f>
        <v>OKT Project 8 of 19</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2019</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229685.69393356299</v>
      </c>
      <c r="N88" s="545">
        <f>IF(J93&lt;D11,0,VLOOKUP(J93,C17:O73,11))</f>
        <v>229685.69393356299</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234338.85832624213</v>
      </c>
      <c r="N89" s="549">
        <f>IF(J93&lt;D11,0,VLOOKUP(J93,C100:P155,7))</f>
        <v>234338.85832624213</v>
      </c>
      <c r="O89" s="550">
        <f>+N89-M89</f>
        <v>0</v>
      </c>
      <c r="P89" s="244"/>
      <c r="Q89" s="244"/>
      <c r="R89" s="244"/>
      <c r="S89" s="244"/>
      <c r="T89" s="244"/>
      <c r="U89" s="244"/>
    </row>
    <row r="90" spans="1:21" ht="13.5" thickBot="1">
      <c r="C90" s="455" t="s">
        <v>82</v>
      </c>
      <c r="D90" s="551" t="str">
        <f>+D7</f>
        <v>Coweta 69 kV Capacitor</v>
      </c>
      <c r="E90" s="244"/>
      <c r="F90" s="244"/>
      <c r="G90" s="244"/>
      <c r="H90" s="244"/>
      <c r="I90" s="326"/>
      <c r="J90" s="326"/>
      <c r="K90" s="552"/>
      <c r="L90" s="553" t="s">
        <v>135</v>
      </c>
      <c r="M90" s="554">
        <f>+M89-M88</f>
        <v>4653.1643926791439</v>
      </c>
      <c r="N90" s="554">
        <f>+N89-N88</f>
        <v>4653.1643926791439</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TP2009089</v>
      </c>
      <c r="E92" s="559"/>
      <c r="F92" s="559"/>
      <c r="G92" s="559"/>
      <c r="H92" s="559"/>
      <c r="I92" s="559"/>
      <c r="J92" s="559"/>
      <c r="K92" s="561"/>
      <c r="P92" s="469"/>
      <c r="Q92" s="244"/>
      <c r="R92" s="244"/>
      <c r="S92" s="244"/>
      <c r="T92" s="244"/>
      <c r="U92" s="244"/>
    </row>
    <row r="93" spans="1:21" ht="13">
      <c r="C93" s="473" t="s">
        <v>49</v>
      </c>
      <c r="D93" s="599">
        <f>IF(D11=I10,0,D10)</f>
        <v>1864625.01</v>
      </c>
      <c r="E93" s="249" t="s">
        <v>84</v>
      </c>
      <c r="H93" s="409"/>
      <c r="I93" s="409"/>
      <c r="J93" s="472">
        <f>+'OKT.WS.G.BPU.ATRR.True-up'!M16</f>
        <v>2019</v>
      </c>
      <c r="K93" s="468"/>
      <c r="L93" s="295" t="s">
        <v>85</v>
      </c>
      <c r="P93" s="279"/>
      <c r="Q93" s="244"/>
      <c r="R93" s="244"/>
      <c r="S93" s="244"/>
      <c r="T93" s="244"/>
      <c r="U93" s="244"/>
    </row>
    <row r="94" spans="1:21" ht="12.5">
      <c r="C94" s="473" t="s">
        <v>52</v>
      </c>
      <c r="D94" s="562">
        <f>IF(D11=I10,"",D11)</f>
        <v>2014</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83">
        <f>IF(D11=I10,"",D12)</f>
        <v>6</v>
      </c>
      <c r="E95" s="473" t="s">
        <v>55</v>
      </c>
      <c r="F95" s="409"/>
      <c r="G95" s="409"/>
      <c r="J95" s="477">
        <f>'OKT.WS.G.BPU.ATRR.True-up'!$F$81</f>
        <v>0.10800922592579221</v>
      </c>
      <c r="K95" s="414"/>
      <c r="L95" s="145" t="s">
        <v>86</v>
      </c>
      <c r="P95" s="279"/>
      <c r="Q95" s="244"/>
      <c r="R95" s="244"/>
      <c r="S95" s="244"/>
      <c r="T95" s="244"/>
      <c r="U95" s="244"/>
    </row>
    <row r="96" spans="1:21" ht="12.5">
      <c r="C96" s="473" t="s">
        <v>57</v>
      </c>
      <c r="D96" s="475">
        <f>'OKT.WS.G.BPU.ATRR.True-up'!F$93</f>
        <v>33</v>
      </c>
      <c r="E96" s="473" t="s">
        <v>58</v>
      </c>
      <c r="F96" s="409"/>
      <c r="G96" s="409"/>
      <c r="J96" s="477">
        <f>IF(H88="",J95,'OKT.WS.G.BPU.ATRR.True-up'!$F$80)</f>
        <v>0.10800922592579221</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56503.788181818185</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C100" s="496">
        <f>IF(D94= "","-",D94)</f>
        <v>2014</v>
      </c>
      <c r="D100" s="613">
        <v>0</v>
      </c>
      <c r="E100" s="614">
        <v>16074.353534482758</v>
      </c>
      <c r="F100" s="615">
        <v>1848550.6564655174</v>
      </c>
      <c r="G100" s="616">
        <v>924275.32823275868</v>
      </c>
      <c r="H100" s="616">
        <v>115474.09051785123</v>
      </c>
      <c r="I100" s="616">
        <v>115474.09051785123</v>
      </c>
      <c r="J100" s="505">
        <v>0</v>
      </c>
      <c r="K100" s="505"/>
      <c r="L100" s="507">
        <f>H100</f>
        <v>115474.09051785123</v>
      </c>
      <c r="M100" s="505">
        <f>IF(L100&lt;&gt;0,+H100-L100,0)</f>
        <v>0</v>
      </c>
      <c r="N100" s="507">
        <f>I100</f>
        <v>115474.09051785123</v>
      </c>
      <c r="O100" s="505">
        <f>IF(N100&lt;&gt;0,+I100-N100,0)</f>
        <v>0</v>
      </c>
      <c r="P100" s="505">
        <f>+O100-M100</f>
        <v>0</v>
      </c>
      <c r="Q100" s="244"/>
      <c r="R100" s="244"/>
      <c r="S100" s="244"/>
      <c r="T100" s="244"/>
      <c r="U100" s="244"/>
    </row>
    <row r="101" spans="1:21" ht="12.5">
      <c r="C101" s="496">
        <f>IF(D94="","-",+C100+1)</f>
        <v>2015</v>
      </c>
      <c r="D101" s="506">
        <v>1848550.6564655174</v>
      </c>
      <c r="E101" s="499">
        <v>38846.354375000003</v>
      </c>
      <c r="F101" s="506">
        <v>1809704.3020905172</v>
      </c>
      <c r="G101" s="499">
        <v>1829127.4792780173</v>
      </c>
      <c r="H101" s="500">
        <v>242482.07146648291</v>
      </c>
      <c r="I101" s="500">
        <v>242482.07146648291</v>
      </c>
      <c r="J101" s="500">
        <v>0</v>
      </c>
      <c r="K101" s="505"/>
      <c r="L101" s="507">
        <f>H101</f>
        <v>242482.07146648291</v>
      </c>
      <c r="M101" s="505">
        <f>IF(L101&lt;&gt;0,+H101-L101,0)</f>
        <v>0</v>
      </c>
      <c r="N101" s="507">
        <f>I101</f>
        <v>242482.07146648291</v>
      </c>
      <c r="O101" s="505">
        <f t="shared" ref="O101:O131" si="12">IF(N101&lt;&gt;0,+I101-N101,0)</f>
        <v>0</v>
      </c>
      <c r="P101" s="505">
        <f t="shared" ref="P101:P131" si="13">+O101-M101</f>
        <v>0</v>
      </c>
      <c r="Q101" s="244"/>
      <c r="R101" s="244"/>
      <c r="S101" s="244"/>
      <c r="T101" s="244"/>
      <c r="U101" s="244"/>
    </row>
    <row r="102" spans="1:21" ht="12.5">
      <c r="C102" s="496">
        <f>IF(D94="","-",+C101+1)</f>
        <v>2016</v>
      </c>
      <c r="D102" s="506">
        <v>1809704.3020905172</v>
      </c>
      <c r="E102" s="499">
        <v>36561.274705882352</v>
      </c>
      <c r="F102" s="506">
        <v>1773143.0273846348</v>
      </c>
      <c r="G102" s="499">
        <v>1791423.6647375762</v>
      </c>
      <c r="H102" s="500">
        <v>230696.88883644732</v>
      </c>
      <c r="I102" s="500">
        <v>230696.88883644732</v>
      </c>
      <c r="J102" s="505">
        <f t="shared" ref="J102:J155" si="14">+I102-H102</f>
        <v>0</v>
      </c>
      <c r="K102" s="505"/>
      <c r="L102" s="507">
        <f>H102</f>
        <v>230696.88883644732</v>
      </c>
      <c r="M102" s="505">
        <f>IF(L102&lt;&gt;0,+H102-L102,0)</f>
        <v>0</v>
      </c>
      <c r="N102" s="507">
        <f>I102</f>
        <v>230696.88883644732</v>
      </c>
      <c r="O102" s="505">
        <f>IF(N102&lt;&gt;0,+I102-N102,0)</f>
        <v>0</v>
      </c>
      <c r="P102" s="505">
        <f>+O102-M102</f>
        <v>0</v>
      </c>
      <c r="Q102" s="244"/>
      <c r="R102" s="244"/>
      <c r="S102" s="244"/>
      <c r="T102" s="244"/>
      <c r="U102" s="244"/>
    </row>
    <row r="103" spans="1:21" ht="12.5">
      <c r="C103" s="496">
        <f>IF(D94="","-",+C102+1)</f>
        <v>2017</v>
      </c>
      <c r="D103" s="506">
        <v>1773143.0273846348</v>
      </c>
      <c r="E103" s="499">
        <v>46615.625249999997</v>
      </c>
      <c r="F103" s="506">
        <v>1726527.4021346348</v>
      </c>
      <c r="G103" s="499">
        <v>1749835.2147596348</v>
      </c>
      <c r="H103" s="500">
        <v>251934.05240160052</v>
      </c>
      <c r="I103" s="500">
        <v>251934.05240160052</v>
      </c>
      <c r="J103" s="505">
        <v>0</v>
      </c>
      <c r="K103" s="505"/>
      <c r="L103" s="507">
        <f>H103</f>
        <v>251934.05240160052</v>
      </c>
      <c r="M103" s="505">
        <f>IF(L103&lt;&gt;0,+H103-L103,0)</f>
        <v>0</v>
      </c>
      <c r="N103" s="507">
        <f>I103</f>
        <v>251934.05240160052</v>
      </c>
      <c r="O103" s="505">
        <f>IF(N103&lt;&gt;0,+I103-N103,0)</f>
        <v>0</v>
      </c>
      <c r="P103" s="505">
        <f>+O103-M103</f>
        <v>0</v>
      </c>
      <c r="Q103" s="244"/>
      <c r="R103" s="244"/>
      <c r="S103" s="244"/>
      <c r="T103" s="244"/>
      <c r="U103" s="244"/>
    </row>
    <row r="104" spans="1:21" ht="12.5">
      <c r="C104" s="496">
        <f>IF(D94="","-",+C103+1)</f>
        <v>2018</v>
      </c>
      <c r="D104" s="506">
        <v>1726527.4021346348</v>
      </c>
      <c r="E104" s="499">
        <v>51795.139166666668</v>
      </c>
      <c r="F104" s="506">
        <v>1674732.2629679681</v>
      </c>
      <c r="G104" s="499">
        <v>1700629.8325513015</v>
      </c>
      <c r="H104" s="500">
        <v>231317.7893017451</v>
      </c>
      <c r="I104" s="500">
        <v>231317.7893017451</v>
      </c>
      <c r="J104" s="505">
        <f t="shared" si="14"/>
        <v>0</v>
      </c>
      <c r="K104" s="505"/>
      <c r="L104" s="507">
        <f>H104</f>
        <v>231317.7893017451</v>
      </c>
      <c r="M104" s="505">
        <f>IF(L104&lt;&gt;0,+H104-L104,0)</f>
        <v>0</v>
      </c>
      <c r="N104" s="507">
        <f>I104</f>
        <v>231317.7893017451</v>
      </c>
      <c r="O104" s="505">
        <f>IF(N104&lt;&gt;0,+I104-N104,0)</f>
        <v>0</v>
      </c>
      <c r="P104" s="505">
        <f>+O104-M104</f>
        <v>0</v>
      </c>
      <c r="Q104" s="244"/>
      <c r="R104" s="244"/>
      <c r="S104" s="244"/>
      <c r="T104" s="244"/>
      <c r="U104" s="244"/>
    </row>
    <row r="105" spans="1:21" ht="12.5">
      <c r="C105" s="496">
        <f>IF(D94="","-",+C104+1)</f>
        <v>2019</v>
      </c>
      <c r="D105" s="350">
        <f>IF(F104+SUM(E$100:E104)=D$93,F104,D$93-SUM(E$100:E104))</f>
        <v>1674732.2629679681</v>
      </c>
      <c r="E105" s="510">
        <f t="shared" ref="E105:E155" si="15">IF(+$J$97&lt;F104,$J$97,D105)</f>
        <v>56503.788181818185</v>
      </c>
      <c r="F105" s="511">
        <f t="shared" ref="F105:F155" si="16">+D105-E105</f>
        <v>1618228.47478615</v>
      </c>
      <c r="G105" s="511">
        <f t="shared" ref="G105:G155" si="17">+(F105+D105)/2</f>
        <v>1646480.3688770591</v>
      </c>
      <c r="H105" s="524">
        <f t="shared" ref="H105:H155" si="18">+J$95*G105+E105</f>
        <v>234338.85832624213</v>
      </c>
      <c r="I105" s="573">
        <f t="shared" ref="I105:I155" si="19">+J$96*G105+E105</f>
        <v>234338.85832624213</v>
      </c>
      <c r="J105" s="505">
        <f t="shared" si="14"/>
        <v>0</v>
      </c>
      <c r="K105" s="505"/>
      <c r="L105" s="513"/>
      <c r="M105" s="505">
        <f t="shared" ref="M105:M131" si="20">IF(L105&lt;&gt;0,+H105-L105,0)</f>
        <v>0</v>
      </c>
      <c r="N105" s="513"/>
      <c r="O105" s="505">
        <f t="shared" si="12"/>
        <v>0</v>
      </c>
      <c r="P105" s="505">
        <f t="shared" si="13"/>
        <v>0</v>
      </c>
      <c r="Q105" s="244"/>
      <c r="R105" s="244"/>
      <c r="S105" s="244"/>
      <c r="T105" s="244"/>
      <c r="U105" s="244"/>
    </row>
    <row r="106" spans="1:21" ht="12.5">
      <c r="C106" s="496">
        <f>IF(D94="","-",+C105+1)</f>
        <v>2020</v>
      </c>
      <c r="D106" s="350">
        <f>IF(F105+SUM(E$100:E105)=D$93,F105,D$93-SUM(E$100:E105))</f>
        <v>1618228.47478615</v>
      </c>
      <c r="E106" s="510">
        <f t="shared" si="15"/>
        <v>56503.788181818185</v>
      </c>
      <c r="F106" s="511">
        <f t="shared" si="16"/>
        <v>1561724.6866043319</v>
      </c>
      <c r="G106" s="511">
        <f t="shared" si="17"/>
        <v>1589976.580695241</v>
      </c>
      <c r="H106" s="524">
        <f t="shared" si="18"/>
        <v>228235.92790284904</v>
      </c>
      <c r="I106" s="573">
        <f t="shared" si="19"/>
        <v>228235.92790284904</v>
      </c>
      <c r="J106" s="505">
        <f t="shared" si="14"/>
        <v>0</v>
      </c>
      <c r="K106" s="505"/>
      <c r="L106" s="513"/>
      <c r="M106" s="505">
        <f t="shared" si="20"/>
        <v>0</v>
      </c>
      <c r="N106" s="513"/>
      <c r="O106" s="505">
        <f t="shared" si="12"/>
        <v>0</v>
      </c>
      <c r="P106" s="505">
        <f t="shared" si="13"/>
        <v>0</v>
      </c>
      <c r="Q106" s="244"/>
      <c r="R106" s="244"/>
      <c r="S106" s="244"/>
      <c r="T106" s="244"/>
      <c r="U106" s="244"/>
    </row>
    <row r="107" spans="1:21" ht="12.5">
      <c r="C107" s="496">
        <f>IF(D94="","-",+C106+1)</f>
        <v>2021</v>
      </c>
      <c r="D107" s="350">
        <f>IF(F106+SUM(E$100:E106)=D$93,F106,D$93-SUM(E$100:E106))</f>
        <v>1561724.6866043319</v>
      </c>
      <c r="E107" s="510">
        <f t="shared" si="15"/>
        <v>56503.788181818185</v>
      </c>
      <c r="F107" s="511">
        <f t="shared" si="16"/>
        <v>1505220.8984225139</v>
      </c>
      <c r="G107" s="511">
        <f t="shared" si="17"/>
        <v>1533472.7925134229</v>
      </c>
      <c r="H107" s="524">
        <f t="shared" si="18"/>
        <v>222132.99747945595</v>
      </c>
      <c r="I107" s="573">
        <f t="shared" si="19"/>
        <v>222132.99747945595</v>
      </c>
      <c r="J107" s="505">
        <f t="shared" si="14"/>
        <v>0</v>
      </c>
      <c r="K107" s="505"/>
      <c r="L107" s="513"/>
      <c r="M107" s="505">
        <f t="shared" si="20"/>
        <v>0</v>
      </c>
      <c r="N107" s="513"/>
      <c r="O107" s="505">
        <f t="shared" si="12"/>
        <v>0</v>
      </c>
      <c r="P107" s="505">
        <f t="shared" si="13"/>
        <v>0</v>
      </c>
      <c r="Q107" s="244"/>
      <c r="R107" s="244"/>
      <c r="S107" s="244"/>
      <c r="T107" s="244"/>
      <c r="U107" s="244"/>
    </row>
    <row r="108" spans="1:21" ht="12.5">
      <c r="C108" s="496">
        <f>IF(D94="","-",+C107+1)</f>
        <v>2022</v>
      </c>
      <c r="D108" s="350">
        <f>IF(F107+SUM(E$100:E107)=D$93,F107,D$93-SUM(E$100:E107))</f>
        <v>1505220.8984225139</v>
      </c>
      <c r="E108" s="510">
        <f t="shared" si="15"/>
        <v>56503.788181818185</v>
      </c>
      <c r="F108" s="511">
        <f t="shared" si="16"/>
        <v>1448717.1102406958</v>
      </c>
      <c r="G108" s="511">
        <f t="shared" si="17"/>
        <v>1476969.0043316048</v>
      </c>
      <c r="H108" s="524">
        <f t="shared" si="18"/>
        <v>216030.06705606286</v>
      </c>
      <c r="I108" s="573">
        <f t="shared" si="19"/>
        <v>216030.06705606286</v>
      </c>
      <c r="J108" s="505">
        <f t="shared" si="14"/>
        <v>0</v>
      </c>
      <c r="K108" s="505"/>
      <c r="L108" s="513"/>
      <c r="M108" s="505">
        <f t="shared" si="20"/>
        <v>0</v>
      </c>
      <c r="N108" s="513"/>
      <c r="O108" s="505">
        <f t="shared" si="12"/>
        <v>0</v>
      </c>
      <c r="P108" s="505">
        <f t="shared" si="13"/>
        <v>0</v>
      </c>
      <c r="Q108" s="244"/>
      <c r="R108" s="244"/>
      <c r="S108" s="244"/>
      <c r="T108" s="244"/>
      <c r="U108" s="244"/>
    </row>
    <row r="109" spans="1:21" ht="12.5">
      <c r="C109" s="496">
        <f>IF(D94="","-",+C108+1)</f>
        <v>2023</v>
      </c>
      <c r="D109" s="350">
        <f>IF(F108+SUM(E$100:E108)=D$93,F108,D$93-SUM(E$100:E108))</f>
        <v>1448717.1102406958</v>
      </c>
      <c r="E109" s="510">
        <f t="shared" si="15"/>
        <v>56503.788181818185</v>
      </c>
      <c r="F109" s="511">
        <f t="shared" si="16"/>
        <v>1392213.3220588777</v>
      </c>
      <c r="G109" s="511">
        <f t="shared" si="17"/>
        <v>1420465.2161497867</v>
      </c>
      <c r="H109" s="524">
        <f t="shared" si="18"/>
        <v>209927.13663266975</v>
      </c>
      <c r="I109" s="573">
        <f t="shared" si="19"/>
        <v>209927.13663266975</v>
      </c>
      <c r="J109" s="505">
        <f t="shared" si="14"/>
        <v>0</v>
      </c>
      <c r="K109" s="505"/>
      <c r="L109" s="513"/>
      <c r="M109" s="505">
        <f t="shared" si="20"/>
        <v>0</v>
      </c>
      <c r="N109" s="513"/>
      <c r="O109" s="505">
        <f t="shared" si="12"/>
        <v>0</v>
      </c>
      <c r="P109" s="505">
        <f t="shared" si="13"/>
        <v>0</v>
      </c>
      <c r="Q109" s="244"/>
      <c r="R109" s="244"/>
      <c r="S109" s="244"/>
      <c r="T109" s="244"/>
      <c r="U109" s="244"/>
    </row>
    <row r="110" spans="1:21" ht="12.5">
      <c r="C110" s="496">
        <f>IF(D94="","-",+C109+1)</f>
        <v>2024</v>
      </c>
      <c r="D110" s="350">
        <f>IF(F109+SUM(E$100:E109)=D$93,F109,D$93-SUM(E$100:E109))</f>
        <v>1392213.3220588777</v>
      </c>
      <c r="E110" s="510">
        <f t="shared" si="15"/>
        <v>56503.788181818185</v>
      </c>
      <c r="F110" s="511">
        <f t="shared" si="16"/>
        <v>1335709.5338770596</v>
      </c>
      <c r="G110" s="511">
        <f t="shared" si="17"/>
        <v>1363961.4279679686</v>
      </c>
      <c r="H110" s="524">
        <f t="shared" si="18"/>
        <v>203824.20620927666</v>
      </c>
      <c r="I110" s="573">
        <f t="shared" si="19"/>
        <v>203824.20620927666</v>
      </c>
      <c r="J110" s="505">
        <f t="shared" si="14"/>
        <v>0</v>
      </c>
      <c r="K110" s="505"/>
      <c r="L110" s="513"/>
      <c r="M110" s="505">
        <f t="shared" si="20"/>
        <v>0</v>
      </c>
      <c r="N110" s="513"/>
      <c r="O110" s="505">
        <f t="shared" si="12"/>
        <v>0</v>
      </c>
      <c r="P110" s="505">
        <f t="shared" si="13"/>
        <v>0</v>
      </c>
      <c r="Q110" s="244"/>
      <c r="R110" s="244"/>
      <c r="S110" s="244"/>
      <c r="T110" s="244"/>
      <c r="U110" s="244"/>
    </row>
    <row r="111" spans="1:21" ht="12.5">
      <c r="C111" s="496">
        <f>IF(D94="","-",+C110+1)</f>
        <v>2025</v>
      </c>
      <c r="D111" s="350">
        <f>IF(F110+SUM(E$100:E110)=D$93,F110,D$93-SUM(E$100:E110))</f>
        <v>1335709.5338770596</v>
      </c>
      <c r="E111" s="510">
        <f t="shared" si="15"/>
        <v>56503.788181818185</v>
      </c>
      <c r="F111" s="511">
        <f t="shared" si="16"/>
        <v>1279205.7456952415</v>
      </c>
      <c r="G111" s="511">
        <f t="shared" si="17"/>
        <v>1307457.6397861505</v>
      </c>
      <c r="H111" s="524">
        <f t="shared" si="18"/>
        <v>197721.27578588357</v>
      </c>
      <c r="I111" s="573">
        <f t="shared" si="19"/>
        <v>197721.27578588357</v>
      </c>
      <c r="J111" s="505">
        <f t="shared" si="14"/>
        <v>0</v>
      </c>
      <c r="K111" s="505"/>
      <c r="L111" s="513"/>
      <c r="M111" s="505">
        <f t="shared" si="20"/>
        <v>0</v>
      </c>
      <c r="N111" s="513"/>
      <c r="O111" s="505">
        <f t="shared" si="12"/>
        <v>0</v>
      </c>
      <c r="P111" s="505">
        <f t="shared" si="13"/>
        <v>0</v>
      </c>
      <c r="Q111" s="244"/>
      <c r="R111" s="244"/>
      <c r="S111" s="244"/>
      <c r="T111" s="244"/>
      <c r="U111" s="244"/>
    </row>
    <row r="112" spans="1:21" ht="12.5">
      <c r="C112" s="496">
        <f>IF(D94="","-",+C111+1)</f>
        <v>2026</v>
      </c>
      <c r="D112" s="350">
        <f>IF(F111+SUM(E$100:E111)=D$93,F111,D$93-SUM(E$100:E111))</f>
        <v>1279205.7456952415</v>
      </c>
      <c r="E112" s="510">
        <f t="shared" si="15"/>
        <v>56503.788181818185</v>
      </c>
      <c r="F112" s="511">
        <f t="shared" si="16"/>
        <v>1222701.9575134234</v>
      </c>
      <c r="G112" s="511">
        <f t="shared" si="17"/>
        <v>1250953.8516043324</v>
      </c>
      <c r="H112" s="524">
        <f t="shared" si="18"/>
        <v>191618.34536249045</v>
      </c>
      <c r="I112" s="573">
        <f t="shared" si="19"/>
        <v>191618.34536249045</v>
      </c>
      <c r="J112" s="505">
        <f t="shared" si="14"/>
        <v>0</v>
      </c>
      <c r="K112" s="505"/>
      <c r="L112" s="513"/>
      <c r="M112" s="505">
        <f t="shared" si="20"/>
        <v>0</v>
      </c>
      <c r="N112" s="513"/>
      <c r="O112" s="505">
        <f t="shared" si="12"/>
        <v>0</v>
      </c>
      <c r="P112" s="505">
        <f t="shared" si="13"/>
        <v>0</v>
      </c>
      <c r="Q112" s="244"/>
      <c r="R112" s="244"/>
      <c r="S112" s="244"/>
      <c r="T112" s="244"/>
      <c r="U112" s="244"/>
    </row>
    <row r="113" spans="3:21" ht="12.5">
      <c r="C113" s="496">
        <f>IF(D94="","-",+C112+1)</f>
        <v>2027</v>
      </c>
      <c r="D113" s="350">
        <f>IF(F112+SUM(E$100:E112)=D$93,F112,D$93-SUM(E$100:E112))</f>
        <v>1222701.9575134234</v>
      </c>
      <c r="E113" s="510">
        <f t="shared" si="15"/>
        <v>56503.788181818185</v>
      </c>
      <c r="F113" s="511">
        <f t="shared" si="16"/>
        <v>1166198.1693316053</v>
      </c>
      <c r="G113" s="511">
        <f t="shared" si="17"/>
        <v>1194450.0634225144</v>
      </c>
      <c r="H113" s="524">
        <f t="shared" si="18"/>
        <v>185515.41493909736</v>
      </c>
      <c r="I113" s="573">
        <f t="shared" si="19"/>
        <v>185515.41493909736</v>
      </c>
      <c r="J113" s="505">
        <f t="shared" si="14"/>
        <v>0</v>
      </c>
      <c r="K113" s="505"/>
      <c r="L113" s="513"/>
      <c r="M113" s="505">
        <f t="shared" si="20"/>
        <v>0</v>
      </c>
      <c r="N113" s="513"/>
      <c r="O113" s="505">
        <f t="shared" si="12"/>
        <v>0</v>
      </c>
      <c r="P113" s="505">
        <f t="shared" si="13"/>
        <v>0</v>
      </c>
      <c r="Q113" s="244"/>
      <c r="R113" s="244"/>
      <c r="S113" s="244"/>
      <c r="T113" s="244"/>
      <c r="U113" s="244"/>
    </row>
    <row r="114" spans="3:21" ht="12.5">
      <c r="C114" s="496">
        <f>IF(D94="","-",+C113+1)</f>
        <v>2028</v>
      </c>
      <c r="D114" s="350">
        <f>IF(F113+SUM(E$100:E113)=D$93,F113,D$93-SUM(E$100:E113))</f>
        <v>1166198.1693316053</v>
      </c>
      <c r="E114" s="510">
        <f t="shared" si="15"/>
        <v>56503.788181818185</v>
      </c>
      <c r="F114" s="511">
        <f t="shared" si="16"/>
        <v>1109694.3811497872</v>
      </c>
      <c r="G114" s="511">
        <f t="shared" si="17"/>
        <v>1137946.2752406963</v>
      </c>
      <c r="H114" s="524">
        <f t="shared" si="18"/>
        <v>179412.48451570427</v>
      </c>
      <c r="I114" s="573">
        <f t="shared" si="19"/>
        <v>179412.48451570427</v>
      </c>
      <c r="J114" s="505">
        <f t="shared" si="14"/>
        <v>0</v>
      </c>
      <c r="K114" s="505"/>
      <c r="L114" s="513"/>
      <c r="M114" s="505">
        <f t="shared" si="20"/>
        <v>0</v>
      </c>
      <c r="N114" s="513"/>
      <c r="O114" s="505">
        <f t="shared" si="12"/>
        <v>0</v>
      </c>
      <c r="P114" s="505">
        <f t="shared" si="13"/>
        <v>0</v>
      </c>
      <c r="Q114" s="244"/>
      <c r="R114" s="244"/>
      <c r="S114" s="244"/>
      <c r="T114" s="244"/>
      <c r="U114" s="244"/>
    </row>
    <row r="115" spans="3:21" ht="12.5">
      <c r="C115" s="496">
        <f>IF(D94="","-",+C114+1)</f>
        <v>2029</v>
      </c>
      <c r="D115" s="350">
        <f>IF(F114+SUM(E$100:E114)=D$93,F114,D$93-SUM(E$100:E114))</f>
        <v>1109694.3811497872</v>
      </c>
      <c r="E115" s="510">
        <f t="shared" si="15"/>
        <v>56503.788181818185</v>
      </c>
      <c r="F115" s="511">
        <f t="shared" si="16"/>
        <v>1053190.5929679691</v>
      </c>
      <c r="G115" s="511">
        <f t="shared" si="17"/>
        <v>1081442.4870588782</v>
      </c>
      <c r="H115" s="524">
        <f t="shared" si="18"/>
        <v>173309.55409231118</v>
      </c>
      <c r="I115" s="573">
        <f t="shared" si="19"/>
        <v>173309.55409231118</v>
      </c>
      <c r="J115" s="505">
        <f t="shared" si="14"/>
        <v>0</v>
      </c>
      <c r="K115" s="505"/>
      <c r="L115" s="513"/>
      <c r="M115" s="505">
        <f t="shared" si="20"/>
        <v>0</v>
      </c>
      <c r="N115" s="513"/>
      <c r="O115" s="505">
        <f t="shared" si="12"/>
        <v>0</v>
      </c>
      <c r="P115" s="505">
        <f t="shared" si="13"/>
        <v>0</v>
      </c>
      <c r="Q115" s="244"/>
      <c r="R115" s="244"/>
      <c r="S115" s="244"/>
      <c r="T115" s="244"/>
      <c r="U115" s="244"/>
    </row>
    <row r="116" spans="3:21" ht="12.5">
      <c r="C116" s="496">
        <f>IF(D94="","-",+C115+1)</f>
        <v>2030</v>
      </c>
      <c r="D116" s="350">
        <f>IF(F115+SUM(E$100:E115)=D$93,F115,D$93-SUM(E$100:E115))</f>
        <v>1053190.5929679691</v>
      </c>
      <c r="E116" s="510">
        <f t="shared" si="15"/>
        <v>56503.788181818185</v>
      </c>
      <c r="F116" s="511">
        <f t="shared" si="16"/>
        <v>996686.80478615093</v>
      </c>
      <c r="G116" s="511">
        <f t="shared" si="17"/>
        <v>1024938.6988770601</v>
      </c>
      <c r="H116" s="524">
        <f t="shared" si="18"/>
        <v>167206.62366891807</v>
      </c>
      <c r="I116" s="573">
        <f t="shared" si="19"/>
        <v>167206.62366891807</v>
      </c>
      <c r="J116" s="505">
        <f t="shared" si="14"/>
        <v>0</v>
      </c>
      <c r="K116" s="505"/>
      <c r="L116" s="513"/>
      <c r="M116" s="505">
        <f t="shared" si="20"/>
        <v>0</v>
      </c>
      <c r="N116" s="513"/>
      <c r="O116" s="505">
        <f t="shared" si="12"/>
        <v>0</v>
      </c>
      <c r="P116" s="505">
        <f t="shared" si="13"/>
        <v>0</v>
      </c>
      <c r="Q116" s="244"/>
      <c r="R116" s="244"/>
      <c r="S116" s="244"/>
      <c r="T116" s="244"/>
      <c r="U116" s="244"/>
    </row>
    <row r="117" spans="3:21" ht="12.5">
      <c r="C117" s="496">
        <f>IF(D94="","-",+C116+1)</f>
        <v>2031</v>
      </c>
      <c r="D117" s="350">
        <f>IF(F116+SUM(E$100:E116)=D$93,F116,D$93-SUM(E$100:E116))</f>
        <v>996686.80478615093</v>
      </c>
      <c r="E117" s="510">
        <f t="shared" si="15"/>
        <v>56503.788181818185</v>
      </c>
      <c r="F117" s="511">
        <f t="shared" si="16"/>
        <v>940183.01660433272</v>
      </c>
      <c r="G117" s="511">
        <f t="shared" si="17"/>
        <v>968434.91069524176</v>
      </c>
      <c r="H117" s="524">
        <f t="shared" si="18"/>
        <v>161103.69324552495</v>
      </c>
      <c r="I117" s="573">
        <f t="shared" si="19"/>
        <v>161103.69324552495</v>
      </c>
      <c r="J117" s="505">
        <f t="shared" si="14"/>
        <v>0</v>
      </c>
      <c r="K117" s="505"/>
      <c r="L117" s="513"/>
      <c r="M117" s="505">
        <f t="shared" si="20"/>
        <v>0</v>
      </c>
      <c r="N117" s="513"/>
      <c r="O117" s="505">
        <f t="shared" si="12"/>
        <v>0</v>
      </c>
      <c r="P117" s="505">
        <f t="shared" si="13"/>
        <v>0</v>
      </c>
      <c r="Q117" s="244"/>
      <c r="R117" s="244"/>
      <c r="S117" s="244"/>
      <c r="T117" s="244"/>
      <c r="U117" s="244"/>
    </row>
    <row r="118" spans="3:21" ht="12.5">
      <c r="C118" s="496">
        <f>IF(D94="","-",+C117+1)</f>
        <v>2032</v>
      </c>
      <c r="D118" s="350">
        <f>IF(F117+SUM(E$100:E117)=D$93,F117,D$93-SUM(E$100:E117))</f>
        <v>940183.01660433272</v>
      </c>
      <c r="E118" s="510">
        <f t="shared" si="15"/>
        <v>56503.788181818185</v>
      </c>
      <c r="F118" s="511">
        <f t="shared" si="16"/>
        <v>883679.22842251451</v>
      </c>
      <c r="G118" s="511">
        <f t="shared" si="17"/>
        <v>911931.12251342367</v>
      </c>
      <c r="H118" s="524">
        <f t="shared" si="18"/>
        <v>155000.76282213186</v>
      </c>
      <c r="I118" s="573">
        <f t="shared" si="19"/>
        <v>155000.76282213186</v>
      </c>
      <c r="J118" s="505">
        <f t="shared" si="14"/>
        <v>0</v>
      </c>
      <c r="K118" s="505"/>
      <c r="L118" s="513"/>
      <c r="M118" s="505">
        <f t="shared" si="20"/>
        <v>0</v>
      </c>
      <c r="N118" s="513"/>
      <c r="O118" s="505">
        <f t="shared" si="12"/>
        <v>0</v>
      </c>
      <c r="P118" s="505">
        <f t="shared" si="13"/>
        <v>0</v>
      </c>
      <c r="Q118" s="244"/>
      <c r="R118" s="244"/>
      <c r="S118" s="244"/>
      <c r="T118" s="244"/>
      <c r="U118" s="244"/>
    </row>
    <row r="119" spans="3:21" ht="12.5">
      <c r="C119" s="496">
        <f>IF(D94="","-",+C118+1)</f>
        <v>2033</v>
      </c>
      <c r="D119" s="350">
        <f>IF(F118+SUM(E$100:E118)=D$93,F118,D$93-SUM(E$100:E118))</f>
        <v>883679.22842251451</v>
      </c>
      <c r="E119" s="510">
        <f t="shared" si="15"/>
        <v>56503.788181818185</v>
      </c>
      <c r="F119" s="511">
        <f t="shared" si="16"/>
        <v>827175.44024069631</v>
      </c>
      <c r="G119" s="511">
        <f t="shared" si="17"/>
        <v>855427.33433160535</v>
      </c>
      <c r="H119" s="524">
        <f t="shared" si="18"/>
        <v>148897.83239873874</v>
      </c>
      <c r="I119" s="573">
        <f t="shared" si="19"/>
        <v>148897.83239873874</v>
      </c>
      <c r="J119" s="505">
        <f t="shared" si="14"/>
        <v>0</v>
      </c>
      <c r="K119" s="505"/>
      <c r="L119" s="513"/>
      <c r="M119" s="505">
        <f t="shared" si="20"/>
        <v>0</v>
      </c>
      <c r="N119" s="513"/>
      <c r="O119" s="505">
        <f t="shared" si="12"/>
        <v>0</v>
      </c>
      <c r="P119" s="505">
        <f t="shared" si="13"/>
        <v>0</v>
      </c>
      <c r="Q119" s="244"/>
      <c r="R119" s="244"/>
      <c r="S119" s="244"/>
      <c r="T119" s="244"/>
      <c r="U119" s="244"/>
    </row>
    <row r="120" spans="3:21" ht="12.5">
      <c r="C120" s="496">
        <f>IF(D94="","-",+C119+1)</f>
        <v>2034</v>
      </c>
      <c r="D120" s="350">
        <f>IF(F119+SUM(E$100:E119)=D$93,F119,D$93-SUM(E$100:E119))</f>
        <v>827175.44024069631</v>
      </c>
      <c r="E120" s="510">
        <f t="shared" si="15"/>
        <v>56503.788181818185</v>
      </c>
      <c r="F120" s="511">
        <f t="shared" si="16"/>
        <v>770671.6520588781</v>
      </c>
      <c r="G120" s="511">
        <f t="shared" si="17"/>
        <v>798923.54614978726</v>
      </c>
      <c r="H120" s="524">
        <f t="shared" si="18"/>
        <v>142794.90197534562</v>
      </c>
      <c r="I120" s="573">
        <f t="shared" si="19"/>
        <v>142794.90197534562</v>
      </c>
      <c r="J120" s="505">
        <f t="shared" si="14"/>
        <v>0</v>
      </c>
      <c r="K120" s="505"/>
      <c r="L120" s="513"/>
      <c r="M120" s="505">
        <f t="shared" si="20"/>
        <v>0</v>
      </c>
      <c r="N120" s="513"/>
      <c r="O120" s="505">
        <f t="shared" si="12"/>
        <v>0</v>
      </c>
      <c r="P120" s="505">
        <f t="shared" si="13"/>
        <v>0</v>
      </c>
      <c r="Q120" s="244"/>
      <c r="R120" s="244"/>
      <c r="S120" s="244"/>
      <c r="T120" s="244"/>
      <c r="U120" s="244"/>
    </row>
    <row r="121" spans="3:21" ht="12.5">
      <c r="C121" s="496">
        <f>IF(D94="","-",+C120+1)</f>
        <v>2035</v>
      </c>
      <c r="D121" s="350">
        <f>IF(F120+SUM(E$100:E120)=D$93,F120,D$93-SUM(E$100:E120))</f>
        <v>770671.6520588781</v>
      </c>
      <c r="E121" s="510">
        <f t="shared" si="15"/>
        <v>56503.788181818185</v>
      </c>
      <c r="F121" s="511">
        <f t="shared" si="16"/>
        <v>714167.86387705989</v>
      </c>
      <c r="G121" s="511">
        <f t="shared" si="17"/>
        <v>742419.75796796894</v>
      </c>
      <c r="H121" s="524">
        <f t="shared" si="18"/>
        <v>136691.97155195251</v>
      </c>
      <c r="I121" s="573">
        <f t="shared" si="19"/>
        <v>136691.97155195251</v>
      </c>
      <c r="J121" s="505">
        <f t="shared" si="14"/>
        <v>0</v>
      </c>
      <c r="K121" s="505"/>
      <c r="L121" s="513"/>
      <c r="M121" s="505">
        <f t="shared" si="20"/>
        <v>0</v>
      </c>
      <c r="N121" s="513"/>
      <c r="O121" s="505">
        <f t="shared" si="12"/>
        <v>0</v>
      </c>
      <c r="P121" s="505">
        <f t="shared" si="13"/>
        <v>0</v>
      </c>
      <c r="Q121" s="244"/>
      <c r="R121" s="244"/>
      <c r="S121" s="244"/>
      <c r="T121" s="244"/>
      <c r="U121" s="244"/>
    </row>
    <row r="122" spans="3:21" ht="12.5">
      <c r="C122" s="496">
        <f>IF(D94="","-",+C121+1)</f>
        <v>2036</v>
      </c>
      <c r="D122" s="350">
        <f>IF(F121+SUM(E$100:E121)=D$93,F121,D$93-SUM(E$100:E121))</f>
        <v>714167.86387705989</v>
      </c>
      <c r="E122" s="510">
        <f t="shared" si="15"/>
        <v>56503.788181818185</v>
      </c>
      <c r="F122" s="511">
        <f t="shared" si="16"/>
        <v>657664.07569524169</v>
      </c>
      <c r="G122" s="511">
        <f t="shared" si="17"/>
        <v>685915.96978615085</v>
      </c>
      <c r="H122" s="524">
        <f t="shared" si="18"/>
        <v>130589.04112855942</v>
      </c>
      <c r="I122" s="573">
        <f t="shared" si="19"/>
        <v>130589.04112855942</v>
      </c>
      <c r="J122" s="505">
        <f t="shared" si="14"/>
        <v>0</v>
      </c>
      <c r="K122" s="505"/>
      <c r="L122" s="513"/>
      <c r="M122" s="505">
        <f t="shared" si="20"/>
        <v>0</v>
      </c>
      <c r="N122" s="513"/>
      <c r="O122" s="505">
        <f t="shared" si="12"/>
        <v>0</v>
      </c>
      <c r="P122" s="505">
        <f t="shared" si="13"/>
        <v>0</v>
      </c>
      <c r="Q122" s="244"/>
      <c r="R122" s="244"/>
      <c r="S122" s="244"/>
      <c r="T122" s="244"/>
      <c r="U122" s="244"/>
    </row>
    <row r="123" spans="3:21" ht="12.5">
      <c r="C123" s="496">
        <f>IF(D94="","-",+C122+1)</f>
        <v>2037</v>
      </c>
      <c r="D123" s="350">
        <f>IF(F122+SUM(E$100:E122)=D$93,F122,D$93-SUM(E$100:E122))</f>
        <v>657664.07569524169</v>
      </c>
      <c r="E123" s="510">
        <f t="shared" si="15"/>
        <v>56503.788181818185</v>
      </c>
      <c r="F123" s="511">
        <f t="shared" si="16"/>
        <v>601160.28751342348</v>
      </c>
      <c r="G123" s="511">
        <f t="shared" si="17"/>
        <v>629412.18160433252</v>
      </c>
      <c r="H123" s="524">
        <f t="shared" si="18"/>
        <v>124486.1107051663</v>
      </c>
      <c r="I123" s="573">
        <f t="shared" si="19"/>
        <v>124486.1107051663</v>
      </c>
      <c r="J123" s="505">
        <f t="shared" si="14"/>
        <v>0</v>
      </c>
      <c r="K123" s="505"/>
      <c r="L123" s="513"/>
      <c r="M123" s="505">
        <f t="shared" si="20"/>
        <v>0</v>
      </c>
      <c r="N123" s="513"/>
      <c r="O123" s="505">
        <f t="shared" si="12"/>
        <v>0</v>
      </c>
      <c r="P123" s="505">
        <f t="shared" si="13"/>
        <v>0</v>
      </c>
      <c r="Q123" s="244"/>
      <c r="R123" s="244"/>
      <c r="S123" s="244"/>
      <c r="T123" s="244"/>
      <c r="U123" s="244"/>
    </row>
    <row r="124" spans="3:21" ht="12.5">
      <c r="C124" s="496">
        <f>IF(D94="","-",+C123+1)</f>
        <v>2038</v>
      </c>
      <c r="D124" s="350">
        <f>IF(F123+SUM(E$100:E123)=D$93,F123,D$93-SUM(E$100:E123))</f>
        <v>601160.28751342348</v>
      </c>
      <c r="E124" s="510">
        <f t="shared" si="15"/>
        <v>56503.788181818185</v>
      </c>
      <c r="F124" s="511">
        <f t="shared" si="16"/>
        <v>544656.49933160527</v>
      </c>
      <c r="G124" s="511">
        <f t="shared" si="17"/>
        <v>572908.39342251443</v>
      </c>
      <c r="H124" s="524">
        <f t="shared" si="18"/>
        <v>118383.1802817732</v>
      </c>
      <c r="I124" s="573">
        <f t="shared" si="19"/>
        <v>118383.1802817732</v>
      </c>
      <c r="J124" s="505">
        <f t="shared" si="14"/>
        <v>0</v>
      </c>
      <c r="K124" s="505"/>
      <c r="L124" s="513"/>
      <c r="M124" s="505">
        <f t="shared" si="20"/>
        <v>0</v>
      </c>
      <c r="N124" s="513"/>
      <c r="O124" s="505">
        <f t="shared" si="12"/>
        <v>0</v>
      </c>
      <c r="P124" s="505">
        <f t="shared" si="13"/>
        <v>0</v>
      </c>
      <c r="Q124" s="244"/>
      <c r="R124" s="244"/>
      <c r="S124" s="244"/>
      <c r="T124" s="244"/>
      <c r="U124" s="244"/>
    </row>
    <row r="125" spans="3:21" ht="12.5">
      <c r="C125" s="496">
        <f>IF(D94="","-",+C124+1)</f>
        <v>2039</v>
      </c>
      <c r="D125" s="350">
        <f>IF(F124+SUM(E$100:E124)=D$93,F124,D$93-SUM(E$100:E124))</f>
        <v>544656.49933160527</v>
      </c>
      <c r="E125" s="510">
        <f t="shared" si="15"/>
        <v>56503.788181818185</v>
      </c>
      <c r="F125" s="511">
        <f t="shared" si="16"/>
        <v>488152.71114978706</v>
      </c>
      <c r="G125" s="511">
        <f t="shared" si="17"/>
        <v>516404.60524069617</v>
      </c>
      <c r="H125" s="524">
        <f t="shared" si="18"/>
        <v>112280.24985838008</v>
      </c>
      <c r="I125" s="573">
        <f t="shared" si="19"/>
        <v>112280.24985838008</v>
      </c>
      <c r="J125" s="505">
        <f t="shared" si="14"/>
        <v>0</v>
      </c>
      <c r="K125" s="505"/>
      <c r="L125" s="513"/>
      <c r="M125" s="505">
        <f t="shared" si="20"/>
        <v>0</v>
      </c>
      <c r="N125" s="513"/>
      <c r="O125" s="505">
        <f t="shared" si="12"/>
        <v>0</v>
      </c>
      <c r="P125" s="505">
        <f t="shared" si="13"/>
        <v>0</v>
      </c>
      <c r="Q125" s="244"/>
      <c r="R125" s="244"/>
      <c r="S125" s="244"/>
      <c r="T125" s="244"/>
      <c r="U125" s="244"/>
    </row>
    <row r="126" spans="3:21" ht="12.5">
      <c r="C126" s="496">
        <f>IF(D94="","-",+C125+1)</f>
        <v>2040</v>
      </c>
      <c r="D126" s="350">
        <f>IF(F125+SUM(E$100:E125)=D$93,F125,D$93-SUM(E$100:E125))</f>
        <v>488152.71114978706</v>
      </c>
      <c r="E126" s="510">
        <f t="shared" si="15"/>
        <v>56503.788181818185</v>
      </c>
      <c r="F126" s="511">
        <f t="shared" si="16"/>
        <v>431648.92296796886</v>
      </c>
      <c r="G126" s="511">
        <f t="shared" si="17"/>
        <v>459900.81705887796</v>
      </c>
      <c r="H126" s="524">
        <f t="shared" si="18"/>
        <v>106177.31943498697</v>
      </c>
      <c r="I126" s="573">
        <f t="shared" si="19"/>
        <v>106177.31943498697</v>
      </c>
      <c r="J126" s="505">
        <f t="shared" si="14"/>
        <v>0</v>
      </c>
      <c r="K126" s="505"/>
      <c r="L126" s="513"/>
      <c r="M126" s="505">
        <f t="shared" si="20"/>
        <v>0</v>
      </c>
      <c r="N126" s="513"/>
      <c r="O126" s="505">
        <f t="shared" si="12"/>
        <v>0</v>
      </c>
      <c r="P126" s="505">
        <f t="shared" si="13"/>
        <v>0</v>
      </c>
      <c r="Q126" s="244"/>
      <c r="R126" s="244"/>
      <c r="S126" s="244"/>
      <c r="T126" s="244"/>
      <c r="U126" s="244"/>
    </row>
    <row r="127" spans="3:21" ht="12.5">
      <c r="C127" s="496">
        <f>IF(D94="","-",+C126+1)</f>
        <v>2041</v>
      </c>
      <c r="D127" s="350">
        <f>IF(F126+SUM(E$100:E126)=D$93,F126,D$93-SUM(E$100:E126))</f>
        <v>431648.92296796886</v>
      </c>
      <c r="E127" s="510">
        <f t="shared" si="15"/>
        <v>56503.788181818185</v>
      </c>
      <c r="F127" s="511">
        <f t="shared" si="16"/>
        <v>375145.13478615065</v>
      </c>
      <c r="G127" s="511">
        <f t="shared" si="17"/>
        <v>403397.02887705975</v>
      </c>
      <c r="H127" s="524">
        <f t="shared" si="18"/>
        <v>100074.38901159386</v>
      </c>
      <c r="I127" s="573">
        <f t="shared" si="19"/>
        <v>100074.38901159386</v>
      </c>
      <c r="J127" s="505">
        <f t="shared" si="14"/>
        <v>0</v>
      </c>
      <c r="K127" s="505"/>
      <c r="L127" s="513"/>
      <c r="M127" s="505">
        <f t="shared" si="20"/>
        <v>0</v>
      </c>
      <c r="N127" s="513"/>
      <c r="O127" s="505">
        <f t="shared" si="12"/>
        <v>0</v>
      </c>
      <c r="P127" s="505">
        <f t="shared" si="13"/>
        <v>0</v>
      </c>
      <c r="Q127" s="244"/>
      <c r="R127" s="244"/>
      <c r="S127" s="244"/>
      <c r="T127" s="244"/>
      <c r="U127" s="244"/>
    </row>
    <row r="128" spans="3:21" ht="12.5">
      <c r="C128" s="496">
        <f>IF(D94="","-",+C127+1)</f>
        <v>2042</v>
      </c>
      <c r="D128" s="350">
        <f>IF(F127+SUM(E$100:E127)=D$93,F127,D$93-SUM(E$100:E127))</f>
        <v>375145.13478615065</v>
      </c>
      <c r="E128" s="510">
        <f t="shared" si="15"/>
        <v>56503.788181818185</v>
      </c>
      <c r="F128" s="511">
        <f t="shared" si="16"/>
        <v>318641.34660433244</v>
      </c>
      <c r="G128" s="511">
        <f t="shared" si="17"/>
        <v>346893.24069524155</v>
      </c>
      <c r="H128" s="524">
        <f t="shared" si="18"/>
        <v>93971.458588200738</v>
      </c>
      <c r="I128" s="573">
        <f t="shared" si="19"/>
        <v>93971.458588200738</v>
      </c>
      <c r="J128" s="505">
        <f t="shared" si="14"/>
        <v>0</v>
      </c>
      <c r="K128" s="505"/>
      <c r="L128" s="513"/>
      <c r="M128" s="505">
        <f t="shared" si="20"/>
        <v>0</v>
      </c>
      <c r="N128" s="513"/>
      <c r="O128" s="505">
        <f t="shared" si="12"/>
        <v>0</v>
      </c>
      <c r="P128" s="505">
        <f t="shared" si="13"/>
        <v>0</v>
      </c>
      <c r="Q128" s="244"/>
      <c r="R128" s="244"/>
      <c r="S128" s="244"/>
      <c r="T128" s="244"/>
      <c r="U128" s="244"/>
    </row>
    <row r="129" spans="3:21" ht="12.5">
      <c r="C129" s="496">
        <f>IF(D94="","-",+C128+1)</f>
        <v>2043</v>
      </c>
      <c r="D129" s="350">
        <f>IF(F128+SUM(E$100:E128)=D$93,F128,D$93-SUM(E$100:E128))</f>
        <v>318641.34660433244</v>
      </c>
      <c r="E129" s="510">
        <f t="shared" si="15"/>
        <v>56503.788181818185</v>
      </c>
      <c r="F129" s="511">
        <f t="shared" si="16"/>
        <v>262137.55842251427</v>
      </c>
      <c r="G129" s="511">
        <f t="shared" si="17"/>
        <v>290389.45251342334</v>
      </c>
      <c r="H129" s="524">
        <f t="shared" si="18"/>
        <v>87868.528164807634</v>
      </c>
      <c r="I129" s="573">
        <f t="shared" si="19"/>
        <v>87868.528164807634</v>
      </c>
      <c r="J129" s="505">
        <f t="shared" si="14"/>
        <v>0</v>
      </c>
      <c r="K129" s="505"/>
      <c r="L129" s="513"/>
      <c r="M129" s="505">
        <f t="shared" si="20"/>
        <v>0</v>
      </c>
      <c r="N129" s="513"/>
      <c r="O129" s="505">
        <f t="shared" si="12"/>
        <v>0</v>
      </c>
      <c r="P129" s="505">
        <f t="shared" si="13"/>
        <v>0</v>
      </c>
      <c r="Q129" s="244"/>
      <c r="R129" s="244"/>
      <c r="S129" s="244"/>
      <c r="T129" s="244"/>
      <c r="U129" s="244"/>
    </row>
    <row r="130" spans="3:21" ht="12.5">
      <c r="C130" s="496">
        <f>IF(D94="","-",+C129+1)</f>
        <v>2044</v>
      </c>
      <c r="D130" s="350">
        <f>IF(F129+SUM(E$100:E129)=D$93,F129,D$93-SUM(E$100:E129))</f>
        <v>262137.55842251427</v>
      </c>
      <c r="E130" s="510">
        <f t="shared" si="15"/>
        <v>56503.788181818185</v>
      </c>
      <c r="F130" s="511">
        <f t="shared" si="16"/>
        <v>205633.77024069609</v>
      </c>
      <c r="G130" s="511">
        <f t="shared" si="17"/>
        <v>233885.66433160519</v>
      </c>
      <c r="H130" s="524">
        <f t="shared" si="18"/>
        <v>81765.597741414531</v>
      </c>
      <c r="I130" s="573">
        <f t="shared" si="19"/>
        <v>81765.597741414531</v>
      </c>
      <c r="J130" s="505">
        <f t="shared" si="14"/>
        <v>0</v>
      </c>
      <c r="K130" s="505"/>
      <c r="L130" s="513"/>
      <c r="M130" s="505">
        <f t="shared" si="20"/>
        <v>0</v>
      </c>
      <c r="N130" s="513"/>
      <c r="O130" s="505">
        <f t="shared" si="12"/>
        <v>0</v>
      </c>
      <c r="P130" s="505">
        <f t="shared" si="13"/>
        <v>0</v>
      </c>
      <c r="Q130" s="244"/>
      <c r="R130" s="244"/>
      <c r="S130" s="244"/>
      <c r="T130" s="244"/>
      <c r="U130" s="244"/>
    </row>
    <row r="131" spans="3:21" ht="12.5">
      <c r="C131" s="496">
        <f>IF(D94="","-",+C130+1)</f>
        <v>2045</v>
      </c>
      <c r="D131" s="350">
        <f>IF(F130+SUM(E$100:E130)=D$93,F130,D$93-SUM(E$100:E130))</f>
        <v>205633.77024069609</v>
      </c>
      <c r="E131" s="510">
        <f t="shared" si="15"/>
        <v>56503.788181818185</v>
      </c>
      <c r="F131" s="511">
        <f t="shared" si="16"/>
        <v>149129.98205887791</v>
      </c>
      <c r="G131" s="511">
        <f t="shared" si="17"/>
        <v>177381.87614978699</v>
      </c>
      <c r="H131" s="524">
        <f t="shared" si="18"/>
        <v>75662.667318021413</v>
      </c>
      <c r="I131" s="573">
        <f t="shared" si="19"/>
        <v>75662.667318021413</v>
      </c>
      <c r="J131" s="505">
        <f t="shared" si="14"/>
        <v>0</v>
      </c>
      <c r="K131" s="505"/>
      <c r="L131" s="513"/>
      <c r="M131" s="505">
        <f t="shared" si="20"/>
        <v>0</v>
      </c>
      <c r="N131" s="513"/>
      <c r="O131" s="505">
        <f t="shared" si="12"/>
        <v>0</v>
      </c>
      <c r="P131" s="505">
        <f t="shared" si="13"/>
        <v>0</v>
      </c>
      <c r="Q131" s="244"/>
      <c r="R131" s="244"/>
      <c r="S131" s="244"/>
      <c r="T131" s="244"/>
      <c r="U131" s="244"/>
    </row>
    <row r="132" spans="3:21" ht="12.5">
      <c r="C132" s="496">
        <f>IF(D94="","-",+C131+1)</f>
        <v>2046</v>
      </c>
      <c r="D132" s="350">
        <f>IF(F131+SUM(E$100:E131)=D$93,F131,D$93-SUM(E$100:E131))</f>
        <v>149129.98205887791</v>
      </c>
      <c r="E132" s="510">
        <f t="shared" si="15"/>
        <v>56503.788181818185</v>
      </c>
      <c r="F132" s="511">
        <f t="shared" si="16"/>
        <v>92626.193877059733</v>
      </c>
      <c r="G132" s="511">
        <f t="shared" si="17"/>
        <v>120878.08796796882</v>
      </c>
      <c r="H132" s="524">
        <f t="shared" si="18"/>
        <v>69559.73689462831</v>
      </c>
      <c r="I132" s="573">
        <f t="shared" si="19"/>
        <v>69559.73689462831</v>
      </c>
      <c r="J132" s="505">
        <f t="shared" si="14"/>
        <v>0</v>
      </c>
      <c r="K132" s="505"/>
      <c r="L132" s="513"/>
      <c r="M132" s="505">
        <f t="shared" ref="M132:M155" si="21">IF(L542&lt;&gt;0,+H542-L542,0)</f>
        <v>0</v>
      </c>
      <c r="N132" s="513"/>
      <c r="O132" s="505">
        <f t="shared" ref="O132:O155" si="22">IF(N542&lt;&gt;0,+I542-N542,0)</f>
        <v>0</v>
      </c>
      <c r="P132" s="505">
        <f t="shared" ref="P132:P155" si="23">+O542-M542</f>
        <v>0</v>
      </c>
      <c r="Q132" s="244"/>
      <c r="R132" s="244"/>
      <c r="S132" s="244"/>
      <c r="T132" s="244"/>
      <c r="U132" s="244"/>
    </row>
    <row r="133" spans="3:21" ht="12.5">
      <c r="C133" s="496">
        <f>IF(D94="","-",+C132+1)</f>
        <v>2047</v>
      </c>
      <c r="D133" s="350">
        <f>IF(F132+SUM(E$100:E132)=D$93,F132,D$93-SUM(E$100:E132))</f>
        <v>92626.193877059733</v>
      </c>
      <c r="E133" s="510">
        <f t="shared" si="15"/>
        <v>56503.788181818185</v>
      </c>
      <c r="F133" s="511">
        <f t="shared" si="16"/>
        <v>36122.405695241549</v>
      </c>
      <c r="G133" s="511">
        <f t="shared" si="17"/>
        <v>64374.299786150645</v>
      </c>
      <c r="H133" s="524">
        <f t="shared" si="18"/>
        <v>63456.806471235206</v>
      </c>
      <c r="I133" s="573">
        <f t="shared" si="19"/>
        <v>63456.806471235206</v>
      </c>
      <c r="J133" s="505">
        <f t="shared" si="14"/>
        <v>0</v>
      </c>
      <c r="K133" s="505"/>
      <c r="L133" s="513"/>
      <c r="M133" s="505">
        <f t="shared" si="21"/>
        <v>0</v>
      </c>
      <c r="N133" s="513"/>
      <c r="O133" s="505">
        <f t="shared" si="22"/>
        <v>0</v>
      </c>
      <c r="P133" s="505">
        <f t="shared" si="23"/>
        <v>0</v>
      </c>
      <c r="Q133" s="244"/>
      <c r="R133" s="244"/>
      <c r="S133" s="244"/>
      <c r="T133" s="244"/>
      <c r="U133" s="244"/>
    </row>
    <row r="134" spans="3:21" ht="12.5">
      <c r="C134" s="496">
        <f>IF(D94="","-",+C133+1)</f>
        <v>2048</v>
      </c>
      <c r="D134" s="350">
        <f>IF(F133+SUM(E$100:E133)=D$93,F133,D$93-SUM(E$100:E133))</f>
        <v>36122.405695241549</v>
      </c>
      <c r="E134" s="510">
        <f t="shared" si="15"/>
        <v>36122.405695241549</v>
      </c>
      <c r="F134" s="511">
        <f t="shared" si="16"/>
        <v>0</v>
      </c>
      <c r="G134" s="511">
        <f t="shared" si="17"/>
        <v>18061.202847620774</v>
      </c>
      <c r="H134" s="524">
        <f t="shared" si="18"/>
        <v>38073.182234101783</v>
      </c>
      <c r="I134" s="573">
        <f t="shared" si="19"/>
        <v>38073.182234101783</v>
      </c>
      <c r="J134" s="505">
        <f t="shared" si="14"/>
        <v>0</v>
      </c>
      <c r="K134" s="505"/>
      <c r="L134" s="513"/>
      <c r="M134" s="505">
        <f t="shared" si="21"/>
        <v>0</v>
      </c>
      <c r="N134" s="513"/>
      <c r="O134" s="505">
        <f t="shared" si="22"/>
        <v>0</v>
      </c>
      <c r="P134" s="505">
        <f t="shared" si="23"/>
        <v>0</v>
      </c>
      <c r="Q134" s="244"/>
      <c r="R134" s="244"/>
      <c r="S134" s="244"/>
      <c r="T134" s="244"/>
      <c r="U134" s="244"/>
    </row>
    <row r="135" spans="3:21" ht="12.5">
      <c r="C135" s="496">
        <f>IF(D94="","-",+C134+1)</f>
        <v>2049</v>
      </c>
      <c r="D135" s="350">
        <f>IF(F134+SUM(E$100:E134)=D$93,F134,D$93-SUM(E$100:E134))</f>
        <v>0</v>
      </c>
      <c r="E135" s="510">
        <f t="shared" si="15"/>
        <v>0</v>
      </c>
      <c r="F135" s="511">
        <f t="shared" si="16"/>
        <v>0</v>
      </c>
      <c r="G135" s="511">
        <f t="shared" si="17"/>
        <v>0</v>
      </c>
      <c r="H135" s="524">
        <f t="shared" si="18"/>
        <v>0</v>
      </c>
      <c r="I135" s="573">
        <f t="shared" si="19"/>
        <v>0</v>
      </c>
      <c r="J135" s="505">
        <f t="shared" si="14"/>
        <v>0</v>
      </c>
      <c r="K135" s="505"/>
      <c r="L135" s="513"/>
      <c r="M135" s="505">
        <f t="shared" si="21"/>
        <v>0</v>
      </c>
      <c r="N135" s="513"/>
      <c r="O135" s="505">
        <f t="shared" si="22"/>
        <v>0</v>
      </c>
      <c r="P135" s="505">
        <f t="shared" si="23"/>
        <v>0</v>
      </c>
      <c r="Q135" s="244"/>
      <c r="R135" s="244"/>
      <c r="S135" s="244"/>
      <c r="T135" s="244"/>
      <c r="U135" s="244"/>
    </row>
    <row r="136" spans="3:21" ht="12.5">
      <c r="C136" s="496">
        <f>IF(D94="","-",+C135+1)</f>
        <v>2050</v>
      </c>
      <c r="D136" s="350">
        <f>IF(F135+SUM(E$100:E135)=D$93,F135,D$93-SUM(E$100:E135))</f>
        <v>0</v>
      </c>
      <c r="E136" s="510">
        <f t="shared" si="15"/>
        <v>0</v>
      </c>
      <c r="F136" s="511">
        <f t="shared" si="16"/>
        <v>0</v>
      </c>
      <c r="G136" s="511">
        <f t="shared" si="17"/>
        <v>0</v>
      </c>
      <c r="H136" s="524">
        <f t="shared" si="18"/>
        <v>0</v>
      </c>
      <c r="I136" s="573">
        <f t="shared" si="19"/>
        <v>0</v>
      </c>
      <c r="J136" s="505">
        <f t="shared" si="14"/>
        <v>0</v>
      </c>
      <c r="K136" s="505"/>
      <c r="L136" s="513"/>
      <c r="M136" s="505">
        <f t="shared" si="21"/>
        <v>0</v>
      </c>
      <c r="N136" s="513"/>
      <c r="O136" s="505">
        <f t="shared" si="22"/>
        <v>0</v>
      </c>
      <c r="P136" s="505">
        <f t="shared" si="23"/>
        <v>0</v>
      </c>
      <c r="Q136" s="244"/>
      <c r="R136" s="244"/>
      <c r="S136" s="244"/>
      <c r="T136" s="244"/>
      <c r="U136" s="244"/>
    </row>
    <row r="137" spans="3:21" ht="12.5">
      <c r="C137" s="496">
        <f>IF(D94="","-",+C136+1)</f>
        <v>2051</v>
      </c>
      <c r="D137" s="350">
        <f>IF(F136+SUM(E$100:E136)=D$93,F136,D$93-SUM(E$100:E136))</f>
        <v>0</v>
      </c>
      <c r="E137" s="510">
        <f t="shared" si="15"/>
        <v>0</v>
      </c>
      <c r="F137" s="511">
        <f t="shared" si="16"/>
        <v>0</v>
      </c>
      <c r="G137" s="511">
        <f t="shared" si="17"/>
        <v>0</v>
      </c>
      <c r="H137" s="524">
        <f t="shared" si="18"/>
        <v>0</v>
      </c>
      <c r="I137" s="573">
        <f t="shared" si="19"/>
        <v>0</v>
      </c>
      <c r="J137" s="505">
        <f t="shared" si="14"/>
        <v>0</v>
      </c>
      <c r="K137" s="505"/>
      <c r="L137" s="513"/>
      <c r="M137" s="505">
        <f t="shared" si="21"/>
        <v>0</v>
      </c>
      <c r="N137" s="513"/>
      <c r="O137" s="505">
        <f t="shared" si="22"/>
        <v>0</v>
      </c>
      <c r="P137" s="505">
        <f t="shared" si="23"/>
        <v>0</v>
      </c>
      <c r="Q137" s="244"/>
      <c r="R137" s="244"/>
      <c r="S137" s="244"/>
      <c r="T137" s="244"/>
      <c r="U137" s="244"/>
    </row>
    <row r="138" spans="3:21" ht="12.5">
      <c r="C138" s="496">
        <f>IF(D94="","-",+C137+1)</f>
        <v>2052</v>
      </c>
      <c r="D138" s="350">
        <f>IF(F137+SUM(E$100:E137)=D$93,F137,D$93-SUM(E$100:E137))</f>
        <v>0</v>
      </c>
      <c r="E138" s="510">
        <f t="shared" si="15"/>
        <v>0</v>
      </c>
      <c r="F138" s="511">
        <f t="shared" si="16"/>
        <v>0</v>
      </c>
      <c r="G138" s="511">
        <f t="shared" si="17"/>
        <v>0</v>
      </c>
      <c r="H138" s="524">
        <f t="shared" si="18"/>
        <v>0</v>
      </c>
      <c r="I138" s="573">
        <f t="shared" si="19"/>
        <v>0</v>
      </c>
      <c r="J138" s="505">
        <f t="shared" si="14"/>
        <v>0</v>
      </c>
      <c r="K138" s="505"/>
      <c r="L138" s="513"/>
      <c r="M138" s="505">
        <f t="shared" si="21"/>
        <v>0</v>
      </c>
      <c r="N138" s="513"/>
      <c r="O138" s="505">
        <f t="shared" si="22"/>
        <v>0</v>
      </c>
      <c r="P138" s="505">
        <f t="shared" si="23"/>
        <v>0</v>
      </c>
      <c r="Q138" s="244"/>
      <c r="R138" s="244"/>
      <c r="S138" s="244"/>
      <c r="T138" s="244"/>
      <c r="U138" s="244"/>
    </row>
    <row r="139" spans="3:21" ht="12.5">
      <c r="C139" s="496">
        <f>IF(D94="","-",+C138+1)</f>
        <v>2053</v>
      </c>
      <c r="D139" s="350">
        <f>IF(F138+SUM(E$100:E138)=D$93,F138,D$93-SUM(E$100:E138))</f>
        <v>0</v>
      </c>
      <c r="E139" s="510">
        <f t="shared" si="15"/>
        <v>0</v>
      </c>
      <c r="F139" s="511">
        <f t="shared" si="16"/>
        <v>0</v>
      </c>
      <c r="G139" s="511">
        <f t="shared" si="17"/>
        <v>0</v>
      </c>
      <c r="H139" s="524">
        <f t="shared" si="18"/>
        <v>0</v>
      </c>
      <c r="I139" s="573">
        <f t="shared" si="19"/>
        <v>0</v>
      </c>
      <c r="J139" s="505">
        <f t="shared" si="14"/>
        <v>0</v>
      </c>
      <c r="K139" s="505"/>
      <c r="L139" s="513"/>
      <c r="M139" s="505">
        <f t="shared" si="21"/>
        <v>0</v>
      </c>
      <c r="N139" s="513"/>
      <c r="O139" s="505">
        <f t="shared" si="22"/>
        <v>0</v>
      </c>
      <c r="P139" s="505">
        <f t="shared" si="23"/>
        <v>0</v>
      </c>
      <c r="Q139" s="244"/>
      <c r="R139" s="244"/>
      <c r="S139" s="244"/>
      <c r="T139" s="244"/>
      <c r="U139" s="244"/>
    </row>
    <row r="140" spans="3:21" ht="12.5">
      <c r="C140" s="496">
        <f>IF(D94="","-",+C139+1)</f>
        <v>2054</v>
      </c>
      <c r="D140" s="350">
        <f>IF(F139+SUM(E$100:E139)=D$93,F139,D$93-SUM(E$100:E139))</f>
        <v>0</v>
      </c>
      <c r="E140" s="510">
        <f t="shared" si="15"/>
        <v>0</v>
      </c>
      <c r="F140" s="511">
        <f t="shared" si="16"/>
        <v>0</v>
      </c>
      <c r="G140" s="511">
        <f t="shared" si="17"/>
        <v>0</v>
      </c>
      <c r="H140" s="524">
        <f t="shared" si="18"/>
        <v>0</v>
      </c>
      <c r="I140" s="573">
        <f t="shared" si="19"/>
        <v>0</v>
      </c>
      <c r="J140" s="505">
        <f t="shared" si="14"/>
        <v>0</v>
      </c>
      <c r="K140" s="505"/>
      <c r="L140" s="513"/>
      <c r="M140" s="505">
        <f t="shared" si="21"/>
        <v>0</v>
      </c>
      <c r="N140" s="513"/>
      <c r="O140" s="505">
        <f t="shared" si="22"/>
        <v>0</v>
      </c>
      <c r="P140" s="505">
        <f t="shared" si="23"/>
        <v>0</v>
      </c>
      <c r="Q140" s="244"/>
      <c r="R140" s="244"/>
      <c r="S140" s="244"/>
      <c r="T140" s="244"/>
      <c r="U140" s="244"/>
    </row>
    <row r="141" spans="3:21" ht="12.5">
      <c r="C141" s="496">
        <f>IF(D94="","-",+C140+1)</f>
        <v>2055</v>
      </c>
      <c r="D141" s="350">
        <f>IF(F140+SUM(E$100:E140)=D$93,F140,D$93-SUM(E$100:E140))</f>
        <v>0</v>
      </c>
      <c r="E141" s="510">
        <f t="shared" si="15"/>
        <v>0</v>
      </c>
      <c r="F141" s="511">
        <f t="shared" si="16"/>
        <v>0</v>
      </c>
      <c r="G141" s="511">
        <f t="shared" si="17"/>
        <v>0</v>
      </c>
      <c r="H141" s="524">
        <f t="shared" si="18"/>
        <v>0</v>
      </c>
      <c r="I141" s="573">
        <f t="shared" si="19"/>
        <v>0</v>
      </c>
      <c r="J141" s="505">
        <f t="shared" si="14"/>
        <v>0</v>
      </c>
      <c r="K141" s="505"/>
      <c r="L141" s="513"/>
      <c r="M141" s="505">
        <f t="shared" si="21"/>
        <v>0</v>
      </c>
      <c r="N141" s="513"/>
      <c r="O141" s="505">
        <f t="shared" si="22"/>
        <v>0</v>
      </c>
      <c r="P141" s="505">
        <f t="shared" si="23"/>
        <v>0</v>
      </c>
      <c r="Q141" s="244"/>
      <c r="R141" s="244"/>
      <c r="S141" s="244"/>
      <c r="T141" s="244"/>
      <c r="U141" s="244"/>
    </row>
    <row r="142" spans="3:21" ht="12.5">
      <c r="C142" s="496">
        <f>IF(D94="","-",+C141+1)</f>
        <v>2056</v>
      </c>
      <c r="D142" s="350">
        <f>IF(F141+SUM(E$100:E141)=D$93,F141,D$93-SUM(E$100:E141))</f>
        <v>0</v>
      </c>
      <c r="E142" s="510">
        <f t="shared" si="15"/>
        <v>0</v>
      </c>
      <c r="F142" s="511">
        <f t="shared" si="16"/>
        <v>0</v>
      </c>
      <c r="G142" s="511">
        <f t="shared" si="17"/>
        <v>0</v>
      </c>
      <c r="H142" s="524">
        <f t="shared" si="18"/>
        <v>0</v>
      </c>
      <c r="I142" s="573">
        <f t="shared" si="19"/>
        <v>0</v>
      </c>
      <c r="J142" s="505">
        <f t="shared" si="14"/>
        <v>0</v>
      </c>
      <c r="K142" s="505"/>
      <c r="L142" s="513"/>
      <c r="M142" s="505">
        <f t="shared" si="21"/>
        <v>0</v>
      </c>
      <c r="N142" s="513"/>
      <c r="O142" s="505">
        <f t="shared" si="22"/>
        <v>0</v>
      </c>
      <c r="P142" s="505">
        <f t="shared" si="23"/>
        <v>0</v>
      </c>
      <c r="Q142" s="244"/>
      <c r="R142" s="244"/>
      <c r="S142" s="244"/>
      <c r="T142" s="244"/>
      <c r="U142" s="244"/>
    </row>
    <row r="143" spans="3:21" ht="12.5">
      <c r="C143" s="496">
        <f>IF(D94="","-",+C142+1)</f>
        <v>2057</v>
      </c>
      <c r="D143" s="350">
        <f>IF(F142+SUM(E$100:E142)=D$93,F142,D$93-SUM(E$100:E142))</f>
        <v>0</v>
      </c>
      <c r="E143" s="510">
        <f t="shared" si="15"/>
        <v>0</v>
      </c>
      <c r="F143" s="511">
        <f t="shared" si="16"/>
        <v>0</v>
      </c>
      <c r="G143" s="511">
        <f t="shared" si="17"/>
        <v>0</v>
      </c>
      <c r="H143" s="524">
        <f t="shared" si="18"/>
        <v>0</v>
      </c>
      <c r="I143" s="573">
        <f t="shared" si="19"/>
        <v>0</v>
      </c>
      <c r="J143" s="505">
        <f t="shared" si="14"/>
        <v>0</v>
      </c>
      <c r="K143" s="505"/>
      <c r="L143" s="513"/>
      <c r="M143" s="505">
        <f t="shared" si="21"/>
        <v>0</v>
      </c>
      <c r="N143" s="513"/>
      <c r="O143" s="505">
        <f t="shared" si="22"/>
        <v>0</v>
      </c>
      <c r="P143" s="505">
        <f t="shared" si="23"/>
        <v>0</v>
      </c>
      <c r="Q143" s="244"/>
      <c r="R143" s="244"/>
      <c r="S143" s="244"/>
      <c r="T143" s="244"/>
      <c r="U143" s="244"/>
    </row>
    <row r="144" spans="3:21" ht="12.5">
      <c r="C144" s="496">
        <f>IF(D94="","-",+C143+1)</f>
        <v>2058</v>
      </c>
      <c r="D144" s="350">
        <f>IF(F143+SUM(E$100:E143)=D$93,F143,D$93-SUM(E$100:E143))</f>
        <v>0</v>
      </c>
      <c r="E144" s="510">
        <f t="shared" si="15"/>
        <v>0</v>
      </c>
      <c r="F144" s="511">
        <f t="shared" si="16"/>
        <v>0</v>
      </c>
      <c r="G144" s="511">
        <f t="shared" si="17"/>
        <v>0</v>
      </c>
      <c r="H144" s="524">
        <f t="shared" si="18"/>
        <v>0</v>
      </c>
      <c r="I144" s="573">
        <f t="shared" si="19"/>
        <v>0</v>
      </c>
      <c r="J144" s="505">
        <f t="shared" si="14"/>
        <v>0</v>
      </c>
      <c r="K144" s="505"/>
      <c r="L144" s="513"/>
      <c r="M144" s="505">
        <f t="shared" si="21"/>
        <v>0</v>
      </c>
      <c r="N144" s="513"/>
      <c r="O144" s="505">
        <f t="shared" si="22"/>
        <v>0</v>
      </c>
      <c r="P144" s="505">
        <f t="shared" si="23"/>
        <v>0</v>
      </c>
      <c r="Q144" s="244"/>
      <c r="R144" s="244"/>
      <c r="S144" s="244"/>
      <c r="T144" s="244"/>
      <c r="U144" s="244"/>
    </row>
    <row r="145" spans="3:21" ht="12.5">
      <c r="C145" s="496">
        <f>IF(D94="","-",+C144+1)</f>
        <v>2059</v>
      </c>
      <c r="D145" s="350">
        <f>IF(F144+SUM(E$100:E144)=D$93,F144,D$93-SUM(E$100:E144))</f>
        <v>0</v>
      </c>
      <c r="E145" s="510">
        <f t="shared" si="15"/>
        <v>0</v>
      </c>
      <c r="F145" s="511">
        <f t="shared" si="16"/>
        <v>0</v>
      </c>
      <c r="G145" s="511">
        <f t="shared" si="17"/>
        <v>0</v>
      </c>
      <c r="H145" s="524">
        <f t="shared" si="18"/>
        <v>0</v>
      </c>
      <c r="I145" s="573">
        <f t="shared" si="19"/>
        <v>0</v>
      </c>
      <c r="J145" s="505">
        <f t="shared" si="14"/>
        <v>0</v>
      </c>
      <c r="K145" s="505"/>
      <c r="L145" s="513"/>
      <c r="M145" s="505">
        <f t="shared" si="21"/>
        <v>0</v>
      </c>
      <c r="N145" s="513"/>
      <c r="O145" s="505">
        <f t="shared" si="22"/>
        <v>0</v>
      </c>
      <c r="P145" s="505">
        <f t="shared" si="23"/>
        <v>0</v>
      </c>
      <c r="Q145" s="244"/>
      <c r="R145" s="244"/>
      <c r="S145" s="244"/>
      <c r="T145" s="244"/>
      <c r="U145" s="244"/>
    </row>
    <row r="146" spans="3:21" ht="12.5">
      <c r="C146" s="496">
        <f>IF(D94="","-",+C145+1)</f>
        <v>2060</v>
      </c>
      <c r="D146" s="350">
        <f>IF(F145+SUM(E$100:E145)=D$93,F145,D$93-SUM(E$100:E145))</f>
        <v>0</v>
      </c>
      <c r="E146" s="510">
        <f t="shared" si="15"/>
        <v>0</v>
      </c>
      <c r="F146" s="511">
        <f t="shared" si="16"/>
        <v>0</v>
      </c>
      <c r="G146" s="511">
        <f t="shared" si="17"/>
        <v>0</v>
      </c>
      <c r="H146" s="524">
        <f t="shared" si="18"/>
        <v>0</v>
      </c>
      <c r="I146" s="573">
        <f t="shared" si="19"/>
        <v>0</v>
      </c>
      <c r="J146" s="505">
        <f t="shared" si="14"/>
        <v>0</v>
      </c>
      <c r="K146" s="505"/>
      <c r="L146" s="513"/>
      <c r="M146" s="505">
        <f t="shared" si="21"/>
        <v>0</v>
      </c>
      <c r="N146" s="513"/>
      <c r="O146" s="505">
        <f t="shared" si="22"/>
        <v>0</v>
      </c>
      <c r="P146" s="505">
        <f t="shared" si="23"/>
        <v>0</v>
      </c>
      <c r="Q146" s="244"/>
      <c r="R146" s="244"/>
      <c r="S146" s="244"/>
      <c r="T146" s="244"/>
      <c r="U146" s="244"/>
    </row>
    <row r="147" spans="3:21" ht="12.5">
      <c r="C147" s="496">
        <f>IF(D94="","-",+C146+1)</f>
        <v>2061</v>
      </c>
      <c r="D147" s="350">
        <f>IF(F146+SUM(E$100:E146)=D$93,F146,D$93-SUM(E$100:E146))</f>
        <v>0</v>
      </c>
      <c r="E147" s="510">
        <f t="shared" si="15"/>
        <v>0</v>
      </c>
      <c r="F147" s="511">
        <f t="shared" si="16"/>
        <v>0</v>
      </c>
      <c r="G147" s="511">
        <f t="shared" si="17"/>
        <v>0</v>
      </c>
      <c r="H147" s="524">
        <f t="shared" si="18"/>
        <v>0</v>
      </c>
      <c r="I147" s="573">
        <f t="shared" si="19"/>
        <v>0</v>
      </c>
      <c r="J147" s="505">
        <f t="shared" si="14"/>
        <v>0</v>
      </c>
      <c r="K147" s="505"/>
      <c r="L147" s="513"/>
      <c r="M147" s="505">
        <f t="shared" si="21"/>
        <v>0</v>
      </c>
      <c r="N147" s="513"/>
      <c r="O147" s="505">
        <f t="shared" si="22"/>
        <v>0</v>
      </c>
      <c r="P147" s="505">
        <f t="shared" si="23"/>
        <v>0</v>
      </c>
      <c r="Q147" s="244"/>
      <c r="R147" s="244"/>
      <c r="S147" s="244"/>
      <c r="T147" s="244"/>
      <c r="U147" s="244"/>
    </row>
    <row r="148" spans="3:21" ht="12.5">
      <c r="C148" s="496">
        <f>IF(D94="","-",+C147+1)</f>
        <v>2062</v>
      </c>
      <c r="D148" s="350">
        <f>IF(F147+SUM(E$100:E147)=D$93,F147,D$93-SUM(E$100:E147))</f>
        <v>0</v>
      </c>
      <c r="E148" s="510">
        <f t="shared" si="15"/>
        <v>0</v>
      </c>
      <c r="F148" s="511">
        <f t="shared" si="16"/>
        <v>0</v>
      </c>
      <c r="G148" s="511">
        <f t="shared" si="17"/>
        <v>0</v>
      </c>
      <c r="H148" s="524">
        <f t="shared" si="18"/>
        <v>0</v>
      </c>
      <c r="I148" s="573">
        <f t="shared" si="19"/>
        <v>0</v>
      </c>
      <c r="J148" s="505">
        <f t="shared" si="14"/>
        <v>0</v>
      </c>
      <c r="K148" s="505"/>
      <c r="L148" s="513"/>
      <c r="M148" s="505">
        <f t="shared" si="21"/>
        <v>0</v>
      </c>
      <c r="N148" s="513"/>
      <c r="O148" s="505">
        <f t="shared" si="22"/>
        <v>0</v>
      </c>
      <c r="P148" s="505">
        <f t="shared" si="23"/>
        <v>0</v>
      </c>
      <c r="Q148" s="244"/>
      <c r="R148" s="244"/>
      <c r="S148" s="244"/>
      <c r="T148" s="244"/>
      <c r="U148" s="244"/>
    </row>
    <row r="149" spans="3:21" ht="12.5">
      <c r="C149" s="496">
        <f>IF(D94="","-",+C148+1)</f>
        <v>2063</v>
      </c>
      <c r="D149" s="350">
        <f>IF(F148+SUM(E$100:E148)=D$93,F148,D$93-SUM(E$100:E148))</f>
        <v>0</v>
      </c>
      <c r="E149" s="510">
        <f t="shared" si="15"/>
        <v>0</v>
      </c>
      <c r="F149" s="511">
        <f t="shared" si="16"/>
        <v>0</v>
      </c>
      <c r="G149" s="511">
        <f t="shared" si="17"/>
        <v>0</v>
      </c>
      <c r="H149" s="524">
        <f t="shared" si="18"/>
        <v>0</v>
      </c>
      <c r="I149" s="573">
        <f t="shared" si="19"/>
        <v>0</v>
      </c>
      <c r="J149" s="505">
        <f t="shared" si="14"/>
        <v>0</v>
      </c>
      <c r="K149" s="505"/>
      <c r="L149" s="513"/>
      <c r="M149" s="505">
        <f t="shared" si="21"/>
        <v>0</v>
      </c>
      <c r="N149" s="513"/>
      <c r="O149" s="505">
        <f t="shared" si="22"/>
        <v>0</v>
      </c>
      <c r="P149" s="505">
        <f t="shared" si="23"/>
        <v>0</v>
      </c>
      <c r="Q149" s="244"/>
      <c r="R149" s="244"/>
      <c r="S149" s="244"/>
      <c r="T149" s="244"/>
      <c r="U149" s="244"/>
    </row>
    <row r="150" spans="3:21" ht="12.5">
      <c r="C150" s="496">
        <f>IF(D94="","-",+C149+1)</f>
        <v>2064</v>
      </c>
      <c r="D150" s="350">
        <f>IF(F149+SUM(E$100:E149)=D$93,F149,D$93-SUM(E$100:E149))</f>
        <v>0</v>
      </c>
      <c r="E150" s="510">
        <f t="shared" si="15"/>
        <v>0</v>
      </c>
      <c r="F150" s="511">
        <f t="shared" si="16"/>
        <v>0</v>
      </c>
      <c r="G150" s="511">
        <f t="shared" si="17"/>
        <v>0</v>
      </c>
      <c r="H150" s="524">
        <f t="shared" si="18"/>
        <v>0</v>
      </c>
      <c r="I150" s="573">
        <f t="shared" si="19"/>
        <v>0</v>
      </c>
      <c r="J150" s="505">
        <f t="shared" si="14"/>
        <v>0</v>
      </c>
      <c r="K150" s="505"/>
      <c r="L150" s="513"/>
      <c r="M150" s="505">
        <f t="shared" si="21"/>
        <v>0</v>
      </c>
      <c r="N150" s="513"/>
      <c r="O150" s="505">
        <f t="shared" si="22"/>
        <v>0</v>
      </c>
      <c r="P150" s="505">
        <f t="shared" si="23"/>
        <v>0</v>
      </c>
      <c r="Q150" s="244"/>
      <c r="R150" s="244"/>
      <c r="S150" s="244"/>
      <c r="T150" s="244"/>
      <c r="U150" s="244"/>
    </row>
    <row r="151" spans="3:21" ht="12.5">
      <c r="C151" s="496">
        <f>IF(D94="","-",+C150+1)</f>
        <v>2065</v>
      </c>
      <c r="D151" s="350">
        <f>IF(F150+SUM(E$100:E150)=D$93,F150,D$93-SUM(E$100:E150))</f>
        <v>0</v>
      </c>
      <c r="E151" s="510">
        <f t="shared" si="15"/>
        <v>0</v>
      </c>
      <c r="F151" s="511">
        <f t="shared" si="16"/>
        <v>0</v>
      </c>
      <c r="G151" s="511">
        <f t="shared" si="17"/>
        <v>0</v>
      </c>
      <c r="H151" s="524">
        <f t="shared" si="18"/>
        <v>0</v>
      </c>
      <c r="I151" s="573">
        <f t="shared" si="19"/>
        <v>0</v>
      </c>
      <c r="J151" s="505">
        <f t="shared" si="14"/>
        <v>0</v>
      </c>
      <c r="K151" s="505"/>
      <c r="L151" s="513"/>
      <c r="M151" s="505">
        <f t="shared" si="21"/>
        <v>0</v>
      </c>
      <c r="N151" s="513"/>
      <c r="O151" s="505">
        <f t="shared" si="22"/>
        <v>0</v>
      </c>
      <c r="P151" s="505">
        <f t="shared" si="23"/>
        <v>0</v>
      </c>
      <c r="Q151" s="244"/>
      <c r="R151" s="244"/>
      <c r="S151" s="244"/>
      <c r="T151" s="244"/>
      <c r="U151" s="244"/>
    </row>
    <row r="152" spans="3:21" ht="12.5">
      <c r="C152" s="496">
        <f>IF(D94="","-",+C151+1)</f>
        <v>2066</v>
      </c>
      <c r="D152" s="350">
        <f>IF(F151+SUM(E$100:E151)=D$93,F151,D$93-SUM(E$100:E151))</f>
        <v>0</v>
      </c>
      <c r="E152" s="510">
        <f t="shared" si="15"/>
        <v>0</v>
      </c>
      <c r="F152" s="511">
        <f t="shared" si="16"/>
        <v>0</v>
      </c>
      <c r="G152" s="511">
        <f t="shared" si="17"/>
        <v>0</v>
      </c>
      <c r="H152" s="524">
        <f t="shared" si="18"/>
        <v>0</v>
      </c>
      <c r="I152" s="573">
        <f t="shared" si="19"/>
        <v>0</v>
      </c>
      <c r="J152" s="505">
        <f t="shared" si="14"/>
        <v>0</v>
      </c>
      <c r="K152" s="505"/>
      <c r="L152" s="513"/>
      <c r="M152" s="505">
        <f t="shared" si="21"/>
        <v>0</v>
      </c>
      <c r="N152" s="513"/>
      <c r="O152" s="505">
        <f t="shared" si="22"/>
        <v>0</v>
      </c>
      <c r="P152" s="505">
        <f t="shared" si="23"/>
        <v>0</v>
      </c>
      <c r="Q152" s="244"/>
      <c r="R152" s="244"/>
      <c r="S152" s="244"/>
      <c r="T152" s="244"/>
      <c r="U152" s="244"/>
    </row>
    <row r="153" spans="3:21" ht="12.5">
      <c r="C153" s="496">
        <f>IF(D94="","-",+C152+1)</f>
        <v>2067</v>
      </c>
      <c r="D153" s="350">
        <f>IF(F152+SUM(E$100:E152)=D$93,F152,D$93-SUM(E$100:E152))</f>
        <v>0</v>
      </c>
      <c r="E153" s="510">
        <f t="shared" si="15"/>
        <v>0</v>
      </c>
      <c r="F153" s="511">
        <f t="shared" si="16"/>
        <v>0</v>
      </c>
      <c r="G153" s="511">
        <f t="shared" si="17"/>
        <v>0</v>
      </c>
      <c r="H153" s="524">
        <f t="shared" si="18"/>
        <v>0</v>
      </c>
      <c r="I153" s="573">
        <f t="shared" si="19"/>
        <v>0</v>
      </c>
      <c r="J153" s="505">
        <f t="shared" si="14"/>
        <v>0</v>
      </c>
      <c r="K153" s="505"/>
      <c r="L153" s="513"/>
      <c r="M153" s="505">
        <f t="shared" si="21"/>
        <v>0</v>
      </c>
      <c r="N153" s="513"/>
      <c r="O153" s="505">
        <f t="shared" si="22"/>
        <v>0</v>
      </c>
      <c r="P153" s="505">
        <f t="shared" si="23"/>
        <v>0</v>
      </c>
      <c r="Q153" s="244"/>
      <c r="R153" s="244"/>
      <c r="S153" s="244"/>
      <c r="T153" s="244"/>
      <c r="U153" s="244"/>
    </row>
    <row r="154" spans="3:21" ht="12.5">
      <c r="C154" s="496">
        <f>IF(D94="","-",+C153+1)</f>
        <v>2068</v>
      </c>
      <c r="D154" s="350">
        <f>IF(F153+SUM(E$100:E153)=D$93,F153,D$93-SUM(E$100:E153))</f>
        <v>0</v>
      </c>
      <c r="E154" s="510">
        <f t="shared" si="15"/>
        <v>0</v>
      </c>
      <c r="F154" s="511">
        <f t="shared" si="16"/>
        <v>0</v>
      </c>
      <c r="G154" s="511">
        <f t="shared" si="17"/>
        <v>0</v>
      </c>
      <c r="H154" s="524">
        <f t="shared" si="18"/>
        <v>0</v>
      </c>
      <c r="I154" s="573">
        <f t="shared" si="19"/>
        <v>0</v>
      </c>
      <c r="J154" s="505">
        <f t="shared" si="14"/>
        <v>0</v>
      </c>
      <c r="K154" s="505"/>
      <c r="L154" s="513"/>
      <c r="M154" s="505">
        <f t="shared" si="21"/>
        <v>0</v>
      </c>
      <c r="N154" s="513"/>
      <c r="O154" s="505">
        <f t="shared" si="22"/>
        <v>0</v>
      </c>
      <c r="P154" s="505">
        <f t="shared" si="23"/>
        <v>0</v>
      </c>
      <c r="Q154" s="244"/>
      <c r="R154" s="244"/>
      <c r="S154" s="244"/>
      <c r="T154" s="244"/>
      <c r="U154" s="244"/>
    </row>
    <row r="155" spans="3:21" ht="13" thickBot="1">
      <c r="C155" s="525">
        <f>IF(D94="","-",+C154+1)</f>
        <v>2069</v>
      </c>
      <c r="D155" s="619">
        <f>IF(F154+SUM(E$100:E154)=D$93,F154,D$93-SUM(E$100:E154))</f>
        <v>0</v>
      </c>
      <c r="E155" s="527">
        <f t="shared" si="15"/>
        <v>0</v>
      </c>
      <c r="F155" s="528">
        <f t="shared" si="16"/>
        <v>0</v>
      </c>
      <c r="G155" s="528">
        <f t="shared" si="17"/>
        <v>0</v>
      </c>
      <c r="H155" s="529">
        <f t="shared" si="18"/>
        <v>0</v>
      </c>
      <c r="I155" s="574">
        <f t="shared" si="19"/>
        <v>0</v>
      </c>
      <c r="J155" s="532">
        <f t="shared" si="14"/>
        <v>0</v>
      </c>
      <c r="K155" s="505"/>
      <c r="L155" s="531"/>
      <c r="M155" s="532">
        <f t="shared" si="21"/>
        <v>0</v>
      </c>
      <c r="N155" s="531"/>
      <c r="O155" s="532">
        <f t="shared" si="22"/>
        <v>0</v>
      </c>
      <c r="P155" s="532">
        <f t="shared" si="23"/>
        <v>0</v>
      </c>
      <c r="Q155" s="244"/>
      <c r="R155" s="244"/>
      <c r="S155" s="244"/>
      <c r="T155" s="244"/>
      <c r="U155" s="244"/>
    </row>
    <row r="156" spans="3:21" ht="12.5">
      <c r="C156" s="350" t="s">
        <v>75</v>
      </c>
      <c r="D156" s="295"/>
      <c r="E156" s="295">
        <f>SUM(E100:E155)</f>
        <v>1864625.0099999998</v>
      </c>
      <c r="F156" s="295"/>
      <c r="G156" s="295"/>
      <c r="H156" s="295">
        <f>SUM(H100:H155)</f>
        <v>5428015.2143216524</v>
      </c>
      <c r="I156" s="295">
        <f>SUM(I100:I155)</f>
        <v>5428015.2143216524</v>
      </c>
      <c r="J156" s="295">
        <f>SUM(J100:J155)</f>
        <v>0</v>
      </c>
      <c r="K156" s="295"/>
      <c r="L156" s="295"/>
      <c r="M156" s="295"/>
      <c r="N156" s="295"/>
      <c r="O156" s="295"/>
      <c r="P156" s="244"/>
      <c r="Q156" s="244"/>
      <c r="R156" s="244"/>
      <c r="S156" s="244"/>
      <c r="T156" s="244"/>
      <c r="U156" s="244"/>
    </row>
    <row r="157" spans="3:21" ht="12.5">
      <c r="C157" s="145" t="s">
        <v>90</v>
      </c>
      <c r="D157" s="293"/>
      <c r="E157" s="244"/>
      <c r="F157" s="244"/>
      <c r="G157" s="244"/>
      <c r="H157" s="244"/>
      <c r="I157" s="326"/>
      <c r="J157" s="326"/>
      <c r="K157" s="295"/>
      <c r="L157" s="326"/>
      <c r="M157" s="326"/>
      <c r="N157" s="326"/>
      <c r="O157" s="326"/>
      <c r="P157" s="244"/>
      <c r="Q157" s="244"/>
      <c r="R157" s="244"/>
      <c r="S157" s="244"/>
      <c r="T157" s="244"/>
      <c r="U157" s="244"/>
    </row>
    <row r="158" spans="3:21" ht="12.5">
      <c r="C158" s="575"/>
      <c r="D158" s="293"/>
      <c r="E158" s="244"/>
      <c r="F158" s="244"/>
      <c r="G158" s="244"/>
      <c r="H158" s="244"/>
      <c r="I158" s="326"/>
      <c r="J158" s="326"/>
      <c r="K158" s="295"/>
      <c r="L158" s="326"/>
      <c r="M158" s="326"/>
      <c r="N158" s="326"/>
      <c r="O158" s="326"/>
      <c r="P158" s="244"/>
      <c r="Q158" s="244"/>
      <c r="R158" s="244"/>
      <c r="S158" s="244"/>
      <c r="T158" s="244"/>
      <c r="U158" s="244"/>
    </row>
    <row r="159" spans="3:21" ht="13">
      <c r="C159" s="620" t="s">
        <v>130</v>
      </c>
      <c r="D159" s="293"/>
      <c r="E159" s="244"/>
      <c r="F159" s="244"/>
      <c r="G159" s="244"/>
      <c r="H159" s="244"/>
      <c r="I159" s="326"/>
      <c r="J159" s="326"/>
      <c r="K159" s="295"/>
      <c r="L159" s="326"/>
      <c r="M159" s="326"/>
      <c r="N159" s="326"/>
      <c r="O159" s="326"/>
      <c r="P159" s="244"/>
      <c r="Q159" s="244"/>
      <c r="R159" s="244"/>
      <c r="S159" s="244"/>
      <c r="T159" s="244"/>
      <c r="U159" s="244"/>
    </row>
    <row r="160" spans="3:21" ht="13">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ht="13">
      <c r="C162" s="576"/>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33" priority="1" stopIfTrue="1" operator="equal">
      <formula>$I$10</formula>
    </cfRule>
  </conditionalFormatting>
  <conditionalFormatting sqref="C100:C155">
    <cfRule type="cellIs" dxfId="32"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U163"/>
  <sheetViews>
    <sheetView view="pageBreakPreview" zoomScale="78" zoomScaleNormal="100" zoomScaleSheetLayoutView="78" workbookViewId="0">
      <selection activeCell="D10" sqref="D10"/>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"&amp;RIGHT(MID(CELL("filename",$A$1),FIND("]",CELL("filename",$A$1))+1,256),1)&amp;" of "&amp;COUNT('OKT.001:OKT.xyz - blank'!$P$3)-1</f>
        <v>OKT Project 9 of 19</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1061867.1098044377</v>
      </c>
      <c r="P5" s="244"/>
      <c r="R5" s="244"/>
      <c r="S5" s="244"/>
      <c r="T5" s="244"/>
      <c r="U5" s="244"/>
    </row>
    <row r="6" spans="1:21" ht="15.5">
      <c r="C6" s="236"/>
      <c r="D6" s="293"/>
      <c r="E6" s="244"/>
      <c r="F6" s="244"/>
      <c r="G6" s="244"/>
      <c r="H6" s="450"/>
      <c r="I6" s="450"/>
      <c r="J6" s="451"/>
      <c r="K6" s="452" t="s">
        <v>243</v>
      </c>
      <c r="L6" s="453"/>
      <c r="M6" s="279"/>
      <c r="N6" s="454">
        <f>VLOOKUP(I10,C17:I73,6)</f>
        <v>1061867.1098044377</v>
      </c>
      <c r="O6" s="244"/>
      <c r="P6" s="244"/>
      <c r="R6" s="244"/>
      <c r="S6" s="244"/>
      <c r="T6" s="244"/>
      <c r="U6" s="244"/>
    </row>
    <row r="7" spans="1:21" ht="13.5" thickBot="1">
      <c r="C7" s="455" t="s">
        <v>46</v>
      </c>
      <c r="D7" s="456" t="s">
        <v>220</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C9" s="464" t="s">
        <v>48</v>
      </c>
      <c r="D9" s="465" t="s">
        <v>219</v>
      </c>
      <c r="E9" s="466"/>
      <c r="F9" s="466"/>
      <c r="G9" s="466"/>
      <c r="H9" s="466"/>
      <c r="I9" s="467"/>
      <c r="J9" s="468"/>
      <c r="O9" s="469"/>
      <c r="P9" s="279"/>
      <c r="R9" s="244"/>
      <c r="S9" s="244"/>
      <c r="T9" s="244"/>
      <c r="U9" s="244"/>
    </row>
    <row r="10" spans="1:21" ht="13">
      <c r="C10" s="470" t="s">
        <v>49</v>
      </c>
      <c r="D10" s="471">
        <v>8535104</v>
      </c>
      <c r="E10" s="300" t="s">
        <v>50</v>
      </c>
      <c r="F10" s="469"/>
      <c r="G10" s="409"/>
      <c r="H10" s="409"/>
      <c r="I10" s="472">
        <f>+OKT.WS.F.BPU.ATRR.Projected!R100</f>
        <v>2019</v>
      </c>
      <c r="J10" s="468"/>
      <c r="K10" s="295" t="s">
        <v>51</v>
      </c>
      <c r="O10" s="279"/>
      <c r="P10" s="279"/>
      <c r="R10" s="244"/>
      <c r="S10" s="244"/>
      <c r="T10" s="244"/>
      <c r="U10" s="244"/>
    </row>
    <row r="11" spans="1:21" ht="12.5">
      <c r="C11" s="473" t="s">
        <v>52</v>
      </c>
      <c r="D11" s="474">
        <v>2015</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6</v>
      </c>
      <c r="E12" s="473" t="s">
        <v>55</v>
      </c>
      <c r="F12" s="409"/>
      <c r="G12" s="221"/>
      <c r="H12" s="221"/>
      <c r="I12" s="477">
        <f>OKT.WS.F.BPU.ATRR.Projected!$F$78</f>
        <v>0.11749102697326873</v>
      </c>
      <c r="J12" s="414"/>
      <c r="K12" s="145" t="s">
        <v>56</v>
      </c>
      <c r="O12" s="279"/>
      <c r="P12" s="279"/>
      <c r="R12" s="244"/>
      <c r="S12" s="244"/>
      <c r="T12" s="244"/>
      <c r="U12" s="244"/>
    </row>
    <row r="13" spans="1:21" ht="12.5">
      <c r="C13" s="473" t="s">
        <v>57</v>
      </c>
      <c r="D13" s="475">
        <f>+OKT.WS.F.BPU.ATRR.Projected!F$89</f>
        <v>41</v>
      </c>
      <c r="E13" s="473" t="s">
        <v>58</v>
      </c>
      <c r="F13" s="409"/>
      <c r="G13" s="221"/>
      <c r="H13" s="221"/>
      <c r="I13" s="477">
        <f>IF(G5="",I12,OKT.WS.F.BPU.ATRR.Projected!$F$77)</f>
        <v>0.11749102697326873</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208173.26829268291</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73" si="0">IF(D17=F16,"","IU")</f>
        <v>IU</v>
      </c>
      <c r="C17" s="496">
        <f>IF(D11= "","-",D11)</f>
        <v>2015</v>
      </c>
      <c r="D17" s="613">
        <v>7400000</v>
      </c>
      <c r="E17" s="621">
        <v>74674.92363561083</v>
      </c>
      <c r="F17" s="613">
        <v>7325325.0763643896</v>
      </c>
      <c r="G17" s="621">
        <v>578000.14938532724</v>
      </c>
      <c r="H17" s="618">
        <v>578000.14938532724</v>
      </c>
      <c r="I17" s="501">
        <v>0</v>
      </c>
      <c r="J17" s="501"/>
      <c r="K17" s="507">
        <f>G17</f>
        <v>578000.14938532724</v>
      </c>
      <c r="L17" s="508">
        <f>IF(K17&lt;&gt;0,+G17-K17,0)</f>
        <v>0</v>
      </c>
      <c r="M17" s="507">
        <f>H17</f>
        <v>578000.14938532724</v>
      </c>
      <c r="N17" s="505">
        <f>IF(M17&lt;&gt;0,+H17-M17,0)</f>
        <v>0</v>
      </c>
      <c r="O17" s="505">
        <f>+N17-L17</f>
        <v>0</v>
      </c>
      <c r="P17" s="279"/>
      <c r="R17" s="244"/>
      <c r="S17" s="244"/>
      <c r="T17" s="244"/>
      <c r="U17" s="244"/>
    </row>
    <row r="18" spans="2:21" ht="12.5">
      <c r="B18" s="145" t="str">
        <f t="shared" si="0"/>
        <v>IU</v>
      </c>
      <c r="C18" s="496">
        <f>IF(D11="","-",+C17+1)</f>
        <v>2016</v>
      </c>
      <c r="D18" s="618">
        <v>8381815.0763643896</v>
      </c>
      <c r="E18" s="618">
        <v>175721.24624335562</v>
      </c>
      <c r="F18" s="618">
        <v>8206093.8301210338</v>
      </c>
      <c r="G18" s="618">
        <v>1060997.6854975934</v>
      </c>
      <c r="H18" s="618">
        <v>1060997.6854975934</v>
      </c>
      <c r="I18" s="501">
        <f>H18-G18</f>
        <v>0</v>
      </c>
      <c r="J18" s="501"/>
      <c r="K18" s="507">
        <f>G18</f>
        <v>1060997.6854975934</v>
      </c>
      <c r="L18" s="508">
        <f>IF(K18&lt;&gt;0,+G18-K18,0)</f>
        <v>0</v>
      </c>
      <c r="M18" s="507">
        <f>H18</f>
        <v>1060997.6854975934</v>
      </c>
      <c r="N18" s="505">
        <f t="shared" ref="N18:N73" si="1">IF(M18&lt;&gt;0,+H18-M18,0)</f>
        <v>0</v>
      </c>
      <c r="O18" s="505">
        <f t="shared" ref="O18:O73" si="2">+N18-L18</f>
        <v>0</v>
      </c>
      <c r="P18" s="279"/>
      <c r="R18" s="244"/>
      <c r="S18" s="244"/>
      <c r="T18" s="244"/>
      <c r="U18" s="244"/>
    </row>
    <row r="19" spans="2:21" ht="12.5">
      <c r="B19" s="145" t="str">
        <f t="shared" si="0"/>
        <v>IU</v>
      </c>
      <c r="C19" s="496">
        <f>IF(D11="","-",+C18+1)</f>
        <v>2017</v>
      </c>
      <c r="D19" s="618">
        <v>8284707.8301210338</v>
      </c>
      <c r="E19" s="618">
        <v>167817.04229981007</v>
      </c>
      <c r="F19" s="618">
        <v>8116890.787821224</v>
      </c>
      <c r="G19" s="618">
        <v>1069412.6916216947</v>
      </c>
      <c r="H19" s="618">
        <v>1069412.6916216947</v>
      </c>
      <c r="I19" s="501">
        <f t="shared" ref="I19:I73" si="3">H19-G19</f>
        <v>0</v>
      </c>
      <c r="J19" s="501"/>
      <c r="K19" s="507">
        <f>G19</f>
        <v>1069412.6916216947</v>
      </c>
      <c r="L19" s="508">
        <f>IF(K19&lt;&gt;0,+G19-K19,0)</f>
        <v>0</v>
      </c>
      <c r="M19" s="507">
        <f>H19</f>
        <v>1069412.6916216947</v>
      </c>
      <c r="N19" s="505">
        <f>IF(M19&lt;&gt;0,+H19-M19,0)</f>
        <v>0</v>
      </c>
      <c r="O19" s="505">
        <f>+N19-L19</f>
        <v>0</v>
      </c>
      <c r="P19" s="279"/>
      <c r="R19" s="244"/>
      <c r="S19" s="244"/>
      <c r="T19" s="244"/>
      <c r="U19" s="244"/>
    </row>
    <row r="20" spans="2:21" ht="12.5">
      <c r="B20" s="145" t="str">
        <f t="shared" si="0"/>
        <v/>
      </c>
      <c r="C20" s="496">
        <f>IF(D11="","-",+C19+1)</f>
        <v>2018</v>
      </c>
      <c r="D20" s="618">
        <v>8116890.787821224</v>
      </c>
      <c r="E20" s="618">
        <v>209319.85738284502</v>
      </c>
      <c r="F20" s="618">
        <v>7907570.9304383788</v>
      </c>
      <c r="G20" s="618">
        <v>1023551.998916439</v>
      </c>
      <c r="H20" s="618">
        <v>1023551.998916439</v>
      </c>
      <c r="I20" s="501">
        <v>0</v>
      </c>
      <c r="J20" s="501"/>
      <c r="K20" s="507">
        <f>G20</f>
        <v>1023551.998916439</v>
      </c>
      <c r="L20" s="508">
        <f>IF(K20&lt;&gt;0,+G20-K20,0)</f>
        <v>0</v>
      </c>
      <c r="M20" s="507">
        <f>H20</f>
        <v>1023551.998916439</v>
      </c>
      <c r="N20" s="505">
        <f>IF(M20&lt;&gt;0,+H20-M20,0)</f>
        <v>0</v>
      </c>
      <c r="O20" s="505">
        <f>+N20-L20</f>
        <v>0</v>
      </c>
      <c r="P20" s="279"/>
      <c r="R20" s="244"/>
      <c r="S20" s="244"/>
      <c r="T20" s="244"/>
      <c r="U20" s="244"/>
    </row>
    <row r="21" spans="2:21" ht="12.5">
      <c r="B21" s="145" t="str">
        <f t="shared" si="0"/>
        <v/>
      </c>
      <c r="C21" s="496">
        <f>IF(D11="","-",+C20+1)</f>
        <v>2019</v>
      </c>
      <c r="D21" s="618">
        <v>7907570.9304383788</v>
      </c>
      <c r="E21" s="618">
        <v>253141.34300077427</v>
      </c>
      <c r="F21" s="618">
        <v>7654429.5874376046</v>
      </c>
      <c r="G21" s="618">
        <v>1061867.1098044377</v>
      </c>
      <c r="H21" s="618">
        <v>1061867.1098044377</v>
      </c>
      <c r="I21" s="501">
        <f t="shared" si="3"/>
        <v>0</v>
      </c>
      <c r="J21" s="501"/>
      <c r="K21" s="507">
        <f>G21</f>
        <v>1061867.1098044377</v>
      </c>
      <c r="L21" s="508">
        <f>IF(K21&lt;&gt;0,+G21-K21,0)</f>
        <v>0</v>
      </c>
      <c r="M21" s="507">
        <f>H21</f>
        <v>1061867.1098044377</v>
      </c>
      <c r="N21" s="505">
        <f>IF(M21&lt;&gt;0,+H21-M21,0)</f>
        <v>0</v>
      </c>
      <c r="O21" s="505">
        <f>+N21-L21</f>
        <v>0</v>
      </c>
      <c r="P21" s="279"/>
      <c r="R21" s="244"/>
      <c r="S21" s="244"/>
      <c r="T21" s="244"/>
      <c r="U21" s="244"/>
    </row>
    <row r="22" spans="2:21" ht="12.5">
      <c r="B22" s="145" t="str">
        <f t="shared" si="0"/>
        <v/>
      </c>
      <c r="C22" s="496">
        <f>IF(D11="","-",+C21+1)</f>
        <v>2020</v>
      </c>
      <c r="D22" s="509">
        <f>IF(F21+SUM(E$17:E21)=D$10,F21,D$10-SUM(E$17:E21))</f>
        <v>7654429.5874376046</v>
      </c>
      <c r="E22" s="510">
        <f t="shared" ref="E22:E73" si="4">IF(+$I$14&lt;F21,$I$14,D22)</f>
        <v>208173.26829268291</v>
      </c>
      <c r="F22" s="511">
        <f t="shared" ref="F22:F73" si="5">+D22-E22</f>
        <v>7446256.3191449214</v>
      </c>
      <c r="G22" s="512">
        <f t="shared" ref="G22:G73" si="6">(D22+F22)/2*I$12+E22</f>
        <v>1095270.8158752562</v>
      </c>
      <c r="H22" s="478">
        <f t="shared" ref="H22:H73" si="7">+(D22+F22)/2*I$13+E22</f>
        <v>1095270.8158752562</v>
      </c>
      <c r="I22" s="501">
        <f t="shared" si="3"/>
        <v>0</v>
      </c>
      <c r="J22" s="501"/>
      <c r="K22" s="513"/>
      <c r="L22" s="505">
        <f t="shared" ref="L22:L73" si="8">IF(K22&lt;&gt;0,+G22-K22,0)</f>
        <v>0</v>
      </c>
      <c r="M22" s="513"/>
      <c r="N22" s="505">
        <f t="shared" si="1"/>
        <v>0</v>
      </c>
      <c r="O22" s="505">
        <f t="shared" si="2"/>
        <v>0</v>
      </c>
      <c r="P22" s="279"/>
      <c r="R22" s="244"/>
      <c r="S22" s="244"/>
      <c r="T22" s="244"/>
      <c r="U22" s="244"/>
    </row>
    <row r="23" spans="2:21" ht="12.5">
      <c r="B23" s="145" t="str">
        <f t="shared" si="0"/>
        <v/>
      </c>
      <c r="C23" s="496">
        <f>IF(D11="","-",+C22+1)</f>
        <v>2021</v>
      </c>
      <c r="D23" s="509">
        <f>IF(F22+SUM(E$17:E22)=D$10,F22,D$10-SUM(E$17:E22))</f>
        <v>7446256.3191449214</v>
      </c>
      <c r="E23" s="510">
        <f t="shared" si="4"/>
        <v>208173.26829268291</v>
      </c>
      <c r="F23" s="511">
        <f t="shared" si="5"/>
        <v>7238083.0508522382</v>
      </c>
      <c r="G23" s="512">
        <f t="shared" si="6"/>
        <v>1070812.324795167</v>
      </c>
      <c r="H23" s="478">
        <f t="shared" si="7"/>
        <v>1070812.324795167</v>
      </c>
      <c r="I23" s="501">
        <f t="shared" si="3"/>
        <v>0</v>
      </c>
      <c r="J23" s="501"/>
      <c r="K23" s="513"/>
      <c r="L23" s="505">
        <f t="shared" si="8"/>
        <v>0</v>
      </c>
      <c r="M23" s="513"/>
      <c r="N23" s="505">
        <f t="shared" si="1"/>
        <v>0</v>
      </c>
      <c r="O23" s="505">
        <f t="shared" si="2"/>
        <v>0</v>
      </c>
      <c r="P23" s="279"/>
      <c r="R23" s="244"/>
      <c r="S23" s="244"/>
      <c r="T23" s="244"/>
      <c r="U23" s="244"/>
    </row>
    <row r="24" spans="2:21" ht="12.5">
      <c r="B24" s="145" t="str">
        <f t="shared" si="0"/>
        <v/>
      </c>
      <c r="C24" s="496">
        <f>IF(D11="","-",+C23+1)</f>
        <v>2022</v>
      </c>
      <c r="D24" s="509">
        <f>IF(F23+SUM(E$17:E23)=D$10,F23,D$10-SUM(E$17:E23))</f>
        <v>7238083.0508522382</v>
      </c>
      <c r="E24" s="510">
        <f t="shared" si="4"/>
        <v>208173.26829268291</v>
      </c>
      <c r="F24" s="511">
        <f t="shared" si="5"/>
        <v>7029909.782559555</v>
      </c>
      <c r="G24" s="512">
        <f t="shared" si="6"/>
        <v>1046353.833715078</v>
      </c>
      <c r="H24" s="478">
        <f t="shared" si="7"/>
        <v>1046353.833715078</v>
      </c>
      <c r="I24" s="501">
        <f t="shared" si="3"/>
        <v>0</v>
      </c>
      <c r="J24" s="501"/>
      <c r="K24" s="513"/>
      <c r="L24" s="505">
        <f t="shared" si="8"/>
        <v>0</v>
      </c>
      <c r="M24" s="513"/>
      <c r="N24" s="505">
        <f t="shared" si="1"/>
        <v>0</v>
      </c>
      <c r="O24" s="505">
        <f t="shared" si="2"/>
        <v>0</v>
      </c>
      <c r="P24" s="279"/>
      <c r="R24" s="244"/>
      <c r="S24" s="244"/>
      <c r="T24" s="244"/>
      <c r="U24" s="244"/>
    </row>
    <row r="25" spans="2:21" ht="12.5">
      <c r="B25" s="145" t="str">
        <f t="shared" si="0"/>
        <v/>
      </c>
      <c r="C25" s="496">
        <f>IF(D11="","-",+C24+1)</f>
        <v>2023</v>
      </c>
      <c r="D25" s="509">
        <f>IF(F24+SUM(E$17:E24)=D$10,F24,D$10-SUM(E$17:E24))</f>
        <v>7029909.782559555</v>
      </c>
      <c r="E25" s="510">
        <f t="shared" si="4"/>
        <v>208173.26829268291</v>
      </c>
      <c r="F25" s="511">
        <f t="shared" si="5"/>
        <v>6821736.5142668718</v>
      </c>
      <c r="G25" s="512">
        <f t="shared" si="6"/>
        <v>1021895.3426349887</v>
      </c>
      <c r="H25" s="478">
        <f t="shared" si="7"/>
        <v>1021895.3426349887</v>
      </c>
      <c r="I25" s="501">
        <f t="shared" si="3"/>
        <v>0</v>
      </c>
      <c r="J25" s="501"/>
      <c r="K25" s="513"/>
      <c r="L25" s="505">
        <f t="shared" si="8"/>
        <v>0</v>
      </c>
      <c r="M25" s="513"/>
      <c r="N25" s="505">
        <f t="shared" si="1"/>
        <v>0</v>
      </c>
      <c r="O25" s="505">
        <f t="shared" si="2"/>
        <v>0</v>
      </c>
      <c r="P25" s="279"/>
      <c r="R25" s="244"/>
      <c r="S25" s="244"/>
      <c r="T25" s="244"/>
      <c r="U25" s="244"/>
    </row>
    <row r="26" spans="2:21" ht="12.5">
      <c r="B26" s="145" t="str">
        <f t="shared" si="0"/>
        <v/>
      </c>
      <c r="C26" s="496">
        <f>IF(D11="","-",+C25+1)</f>
        <v>2024</v>
      </c>
      <c r="D26" s="509">
        <f>IF(F25+SUM(E$17:E25)=D$10,F25,D$10-SUM(E$17:E25))</f>
        <v>6821736.5142668718</v>
      </c>
      <c r="E26" s="510">
        <f t="shared" si="4"/>
        <v>208173.26829268291</v>
      </c>
      <c r="F26" s="511">
        <f t="shared" si="5"/>
        <v>6613563.2459741887</v>
      </c>
      <c r="G26" s="512">
        <f t="shared" si="6"/>
        <v>997436.85155489971</v>
      </c>
      <c r="H26" s="478">
        <f t="shared" si="7"/>
        <v>997436.85155489971</v>
      </c>
      <c r="I26" s="501">
        <f t="shared" si="3"/>
        <v>0</v>
      </c>
      <c r="J26" s="501"/>
      <c r="K26" s="513"/>
      <c r="L26" s="505">
        <f t="shared" si="8"/>
        <v>0</v>
      </c>
      <c r="M26" s="513"/>
      <c r="N26" s="505">
        <f t="shared" si="1"/>
        <v>0</v>
      </c>
      <c r="O26" s="505">
        <f t="shared" si="2"/>
        <v>0</v>
      </c>
      <c r="P26" s="279"/>
      <c r="R26" s="244"/>
      <c r="S26" s="244"/>
      <c r="T26" s="244"/>
      <c r="U26" s="244"/>
    </row>
    <row r="27" spans="2:21" ht="12.5">
      <c r="B27" s="145" t="str">
        <f t="shared" si="0"/>
        <v/>
      </c>
      <c r="C27" s="496">
        <f>IF(D11="","-",+C26+1)</f>
        <v>2025</v>
      </c>
      <c r="D27" s="509">
        <f>IF(F26+SUM(E$17:E26)=D$10,F26,D$10-SUM(E$17:E26))</f>
        <v>6613563.2459741887</v>
      </c>
      <c r="E27" s="510">
        <f t="shared" si="4"/>
        <v>208173.26829268291</v>
      </c>
      <c r="F27" s="511">
        <f t="shared" si="5"/>
        <v>6405389.9776815055</v>
      </c>
      <c r="G27" s="512">
        <f t="shared" si="6"/>
        <v>972978.36047481035</v>
      </c>
      <c r="H27" s="478">
        <f t="shared" si="7"/>
        <v>972978.36047481035</v>
      </c>
      <c r="I27" s="501">
        <f t="shared" si="3"/>
        <v>0</v>
      </c>
      <c r="J27" s="501"/>
      <c r="K27" s="513"/>
      <c r="L27" s="505">
        <f t="shared" si="8"/>
        <v>0</v>
      </c>
      <c r="M27" s="513"/>
      <c r="N27" s="505">
        <f t="shared" si="1"/>
        <v>0</v>
      </c>
      <c r="O27" s="505">
        <f t="shared" si="2"/>
        <v>0</v>
      </c>
      <c r="P27" s="279"/>
      <c r="R27" s="244"/>
      <c r="S27" s="244"/>
      <c r="T27" s="244"/>
      <c r="U27" s="244"/>
    </row>
    <row r="28" spans="2:21" ht="12.5">
      <c r="B28" s="145" t="str">
        <f t="shared" si="0"/>
        <v/>
      </c>
      <c r="C28" s="496">
        <f>IF(D11="","-",+C27+1)</f>
        <v>2026</v>
      </c>
      <c r="D28" s="509">
        <f>IF(F27+SUM(E$17:E27)=D$10,F27,D$10-SUM(E$17:E27))</f>
        <v>6405389.9776815055</v>
      </c>
      <c r="E28" s="510">
        <f t="shared" si="4"/>
        <v>208173.26829268291</v>
      </c>
      <c r="F28" s="511">
        <f t="shared" si="5"/>
        <v>6197216.7093888223</v>
      </c>
      <c r="G28" s="512">
        <f t="shared" si="6"/>
        <v>948519.86939472135</v>
      </c>
      <c r="H28" s="478">
        <f t="shared" si="7"/>
        <v>948519.86939472135</v>
      </c>
      <c r="I28" s="501">
        <f t="shared" si="3"/>
        <v>0</v>
      </c>
      <c r="J28" s="501"/>
      <c r="K28" s="513"/>
      <c r="L28" s="505">
        <f t="shared" si="8"/>
        <v>0</v>
      </c>
      <c r="M28" s="513"/>
      <c r="N28" s="505">
        <f t="shared" si="1"/>
        <v>0</v>
      </c>
      <c r="O28" s="505">
        <f t="shared" si="2"/>
        <v>0</v>
      </c>
      <c r="P28" s="279"/>
      <c r="R28" s="244"/>
      <c r="S28" s="244"/>
      <c r="T28" s="244"/>
      <c r="U28" s="244"/>
    </row>
    <row r="29" spans="2:21" ht="12.5">
      <c r="B29" s="145" t="str">
        <f t="shared" si="0"/>
        <v/>
      </c>
      <c r="C29" s="496">
        <f>IF(D11="","-",+C28+1)</f>
        <v>2027</v>
      </c>
      <c r="D29" s="509">
        <f>IF(F28+SUM(E$17:E28)=D$10,F28,D$10-SUM(E$17:E28))</f>
        <v>6197216.7093888223</v>
      </c>
      <c r="E29" s="510">
        <f t="shared" si="4"/>
        <v>208173.26829268291</v>
      </c>
      <c r="F29" s="511">
        <f t="shared" si="5"/>
        <v>5989043.4410961391</v>
      </c>
      <c r="G29" s="512">
        <f t="shared" si="6"/>
        <v>924061.37831463211</v>
      </c>
      <c r="H29" s="478">
        <f t="shared" si="7"/>
        <v>924061.37831463211</v>
      </c>
      <c r="I29" s="501">
        <f t="shared" si="3"/>
        <v>0</v>
      </c>
      <c r="J29" s="501"/>
      <c r="K29" s="513"/>
      <c r="L29" s="505">
        <f t="shared" si="8"/>
        <v>0</v>
      </c>
      <c r="M29" s="513"/>
      <c r="N29" s="505">
        <f t="shared" si="1"/>
        <v>0</v>
      </c>
      <c r="O29" s="505">
        <f t="shared" si="2"/>
        <v>0</v>
      </c>
      <c r="P29" s="279"/>
      <c r="R29" s="244"/>
      <c r="S29" s="244"/>
      <c r="T29" s="244"/>
      <c r="U29" s="244"/>
    </row>
    <row r="30" spans="2:21" ht="12.5">
      <c r="B30" s="145" t="str">
        <f t="shared" si="0"/>
        <v/>
      </c>
      <c r="C30" s="496">
        <f>IF(D11="","-",+C29+1)</f>
        <v>2028</v>
      </c>
      <c r="D30" s="509">
        <f>IF(F29+SUM(E$17:E29)=D$10,F29,D$10-SUM(E$17:E29))</f>
        <v>5989043.4410961391</v>
      </c>
      <c r="E30" s="510">
        <f t="shared" si="4"/>
        <v>208173.26829268291</v>
      </c>
      <c r="F30" s="511">
        <f t="shared" si="5"/>
        <v>5780870.172803456</v>
      </c>
      <c r="G30" s="512">
        <f t="shared" si="6"/>
        <v>899602.8872345431</v>
      </c>
      <c r="H30" s="478">
        <f t="shared" si="7"/>
        <v>899602.8872345431</v>
      </c>
      <c r="I30" s="501">
        <f t="shared" si="3"/>
        <v>0</v>
      </c>
      <c r="J30" s="501"/>
      <c r="K30" s="513"/>
      <c r="L30" s="505">
        <f t="shared" si="8"/>
        <v>0</v>
      </c>
      <c r="M30" s="513"/>
      <c r="N30" s="505">
        <f t="shared" si="1"/>
        <v>0</v>
      </c>
      <c r="O30" s="505">
        <f t="shared" si="2"/>
        <v>0</v>
      </c>
      <c r="P30" s="279"/>
      <c r="R30" s="244"/>
      <c r="S30" s="244"/>
      <c r="T30" s="244"/>
      <c r="U30" s="244"/>
    </row>
    <row r="31" spans="2:21" ht="12.5">
      <c r="B31" s="145" t="str">
        <f>IF(D31=F30,"","IU")</f>
        <v/>
      </c>
      <c r="C31" s="496">
        <f>IF(D11="","-",+C30+1)</f>
        <v>2029</v>
      </c>
      <c r="D31" s="509">
        <f>IF(F30+SUM(E$17:E30)=D$10,F30,D$10-SUM(E$17:E30))</f>
        <v>5780870.172803456</v>
      </c>
      <c r="E31" s="510">
        <f t="shared" si="4"/>
        <v>208173.26829268291</v>
      </c>
      <c r="F31" s="511">
        <f t="shared" si="5"/>
        <v>5572696.9045107728</v>
      </c>
      <c r="G31" s="512">
        <f t="shared" si="6"/>
        <v>875144.39615445386</v>
      </c>
      <c r="H31" s="478">
        <f t="shared" si="7"/>
        <v>875144.39615445386</v>
      </c>
      <c r="I31" s="501">
        <f t="shared" si="3"/>
        <v>0</v>
      </c>
      <c r="J31" s="501"/>
      <c r="K31" s="513"/>
      <c r="L31" s="505">
        <f t="shared" si="8"/>
        <v>0</v>
      </c>
      <c r="M31" s="513"/>
      <c r="N31" s="505">
        <f t="shared" si="1"/>
        <v>0</v>
      </c>
      <c r="O31" s="505">
        <f t="shared" si="2"/>
        <v>0</v>
      </c>
      <c r="P31" s="279"/>
      <c r="Q31" s="221"/>
      <c r="R31" s="279"/>
      <c r="S31" s="279"/>
      <c r="T31" s="279"/>
      <c r="U31" s="244"/>
    </row>
    <row r="32" spans="2:21" ht="12.5">
      <c r="B32" s="145" t="str">
        <f t="shared" ref="B32:B46" si="9">IF(D32=F31,"","IU")</f>
        <v/>
      </c>
      <c r="C32" s="496">
        <f>IF(D12="","-",+C31+1)</f>
        <v>2030</v>
      </c>
      <c r="D32" s="509">
        <f>IF(F31+SUM(E$17:E31)=D$10,F31,D$10-SUM(E$17:E31))</f>
        <v>5572696.9045107728</v>
      </c>
      <c r="E32" s="510">
        <f>IF(+$I$14&lt;F31,$I$14,D32)</f>
        <v>208173.26829268291</v>
      </c>
      <c r="F32" s="511">
        <f>+D32-E32</f>
        <v>5364523.6362180896</v>
      </c>
      <c r="G32" s="512">
        <f t="shared" si="6"/>
        <v>850685.90507436474</v>
      </c>
      <c r="H32" s="478">
        <f t="shared" si="7"/>
        <v>850685.90507436474</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9"/>
        <v/>
      </c>
      <c r="C33" s="496">
        <f>IF(D13="","-",+C32+1)</f>
        <v>2031</v>
      </c>
      <c r="D33" s="509">
        <f>IF(F32+SUM(E$17:E32)=D$10,F32,D$10-SUM(E$17:E32))</f>
        <v>5364523.6362180896</v>
      </c>
      <c r="E33" s="510">
        <f>IF(+$I$14&lt;F32,$I$14,D33)</f>
        <v>208173.26829268291</v>
      </c>
      <c r="F33" s="511">
        <f>+D33-E33</f>
        <v>5156350.3679254064</v>
      </c>
      <c r="G33" s="512">
        <f t="shared" si="6"/>
        <v>826227.4139942755</v>
      </c>
      <c r="H33" s="478">
        <f t="shared" si="7"/>
        <v>826227.4139942755</v>
      </c>
      <c r="I33" s="501">
        <f>H33-G33</f>
        <v>0</v>
      </c>
      <c r="J33" s="501"/>
      <c r="K33" s="513"/>
      <c r="L33" s="505">
        <f>IF(K33&lt;&gt;0,+G33-K33,0)</f>
        <v>0</v>
      </c>
      <c r="M33" s="513"/>
      <c r="N33" s="505">
        <f>IF(M33&lt;&gt;0,+H33-M33,0)</f>
        <v>0</v>
      </c>
      <c r="O33" s="505">
        <f>+N33-L33</f>
        <v>0</v>
      </c>
      <c r="P33" s="279"/>
      <c r="R33" s="244"/>
      <c r="S33" s="244"/>
      <c r="T33" s="244"/>
      <c r="U33" s="244"/>
    </row>
    <row r="34" spans="2:21" ht="12.5">
      <c r="B34" s="145" t="str">
        <f t="shared" si="9"/>
        <v/>
      </c>
      <c r="C34" s="496">
        <f t="shared" ref="C34:C42" si="10">IF(D14="","-",+C33+1)</f>
        <v>2032</v>
      </c>
      <c r="D34" s="515">
        <f>IF(F33+SUM(E$17:E33)=D$10,F33,D$10-SUM(E$17:E33))</f>
        <v>5156350.3679254064</v>
      </c>
      <c r="E34" s="516">
        <f t="shared" si="4"/>
        <v>208173.26829268291</v>
      </c>
      <c r="F34" s="517">
        <f t="shared" si="5"/>
        <v>4948177.0996327233</v>
      </c>
      <c r="G34" s="512">
        <f t="shared" si="6"/>
        <v>801768.92291418649</v>
      </c>
      <c r="H34" s="478">
        <f t="shared" si="7"/>
        <v>801768.92291418649</v>
      </c>
      <c r="I34" s="520">
        <f t="shared" si="3"/>
        <v>0</v>
      </c>
      <c r="J34" s="520"/>
      <c r="K34" s="521"/>
      <c r="L34" s="522">
        <f t="shared" si="8"/>
        <v>0</v>
      </c>
      <c r="M34" s="521"/>
      <c r="N34" s="522">
        <f t="shared" si="1"/>
        <v>0</v>
      </c>
      <c r="O34" s="522">
        <f t="shared" si="2"/>
        <v>0</v>
      </c>
      <c r="P34" s="523"/>
      <c r="Q34" s="217"/>
      <c r="R34" s="523"/>
      <c r="S34" s="523"/>
      <c r="T34" s="523"/>
      <c r="U34" s="244"/>
    </row>
    <row r="35" spans="2:21" ht="12.5">
      <c r="B35" s="145" t="str">
        <f t="shared" si="9"/>
        <v/>
      </c>
      <c r="C35" s="496">
        <f t="shared" si="10"/>
        <v>2033</v>
      </c>
      <c r="D35" s="509">
        <f>IF(F34+SUM(E$17:E34)=D$10,F34,D$10-SUM(E$17:E34))</f>
        <v>4948177.0996327233</v>
      </c>
      <c r="E35" s="510">
        <f t="shared" si="4"/>
        <v>208173.26829268291</v>
      </c>
      <c r="F35" s="511">
        <f t="shared" si="5"/>
        <v>4740003.8313400401</v>
      </c>
      <c r="G35" s="512">
        <f t="shared" si="6"/>
        <v>777310.43183409725</v>
      </c>
      <c r="H35" s="478">
        <f t="shared" si="7"/>
        <v>777310.43183409725</v>
      </c>
      <c r="I35" s="501">
        <f t="shared" si="3"/>
        <v>0</v>
      </c>
      <c r="J35" s="501"/>
      <c r="K35" s="513"/>
      <c r="L35" s="505">
        <f t="shared" si="8"/>
        <v>0</v>
      </c>
      <c r="M35" s="513"/>
      <c r="N35" s="505">
        <f t="shared" si="1"/>
        <v>0</v>
      </c>
      <c r="O35" s="505">
        <f t="shared" si="2"/>
        <v>0</v>
      </c>
      <c r="P35" s="279"/>
      <c r="R35" s="244"/>
      <c r="S35" s="244"/>
      <c r="T35" s="244"/>
      <c r="U35" s="244"/>
    </row>
    <row r="36" spans="2:21" ht="12.5">
      <c r="B36" s="145" t="str">
        <f t="shared" si="9"/>
        <v/>
      </c>
      <c r="C36" s="496">
        <f t="shared" si="10"/>
        <v>2034</v>
      </c>
      <c r="D36" s="509">
        <f>IF(F35+SUM(E$17:E35)=D$10,F35,D$10-SUM(E$17:E35))</f>
        <v>4740003.8313400447</v>
      </c>
      <c r="E36" s="510">
        <f t="shared" si="4"/>
        <v>208173.26829268291</v>
      </c>
      <c r="F36" s="511">
        <f t="shared" si="5"/>
        <v>4531830.5630473616</v>
      </c>
      <c r="G36" s="512">
        <f t="shared" si="6"/>
        <v>752851.9407540086</v>
      </c>
      <c r="H36" s="478">
        <f t="shared" si="7"/>
        <v>752851.9407540086</v>
      </c>
      <c r="I36" s="501">
        <f t="shared" si="3"/>
        <v>0</v>
      </c>
      <c r="J36" s="501"/>
      <c r="K36" s="513"/>
      <c r="L36" s="505">
        <f t="shared" si="8"/>
        <v>0</v>
      </c>
      <c r="M36" s="513"/>
      <c r="N36" s="505">
        <f t="shared" si="1"/>
        <v>0</v>
      </c>
      <c r="O36" s="505">
        <f t="shared" si="2"/>
        <v>0</v>
      </c>
      <c r="P36" s="279"/>
      <c r="R36" s="244"/>
      <c r="S36" s="244"/>
      <c r="T36" s="244"/>
      <c r="U36" s="244"/>
    </row>
    <row r="37" spans="2:21" ht="12.5">
      <c r="B37" s="145" t="str">
        <f t="shared" si="9"/>
        <v/>
      </c>
      <c r="C37" s="496">
        <f t="shared" si="10"/>
        <v>2035</v>
      </c>
      <c r="D37" s="509">
        <f>IF(F36+SUM(E$17:E36)=D$10,F36,D$10-SUM(E$17:E36))</f>
        <v>4531830.5630473616</v>
      </c>
      <c r="E37" s="510">
        <f t="shared" si="4"/>
        <v>208173.26829268291</v>
      </c>
      <c r="F37" s="511">
        <f t="shared" si="5"/>
        <v>4323657.2947546784</v>
      </c>
      <c r="G37" s="512">
        <f t="shared" si="6"/>
        <v>728393.44967391959</v>
      </c>
      <c r="H37" s="478">
        <f t="shared" si="7"/>
        <v>728393.44967391959</v>
      </c>
      <c r="I37" s="501">
        <f t="shared" si="3"/>
        <v>0</v>
      </c>
      <c r="J37" s="501"/>
      <c r="K37" s="513"/>
      <c r="L37" s="505">
        <f t="shared" si="8"/>
        <v>0</v>
      </c>
      <c r="M37" s="513"/>
      <c r="N37" s="505">
        <f t="shared" si="1"/>
        <v>0</v>
      </c>
      <c r="O37" s="505">
        <f t="shared" si="2"/>
        <v>0</v>
      </c>
      <c r="P37" s="279"/>
      <c r="R37" s="244"/>
      <c r="S37" s="244"/>
      <c r="T37" s="244"/>
      <c r="U37" s="244"/>
    </row>
    <row r="38" spans="2:21" ht="12.5">
      <c r="B38" s="145" t="str">
        <f t="shared" si="9"/>
        <v/>
      </c>
      <c r="C38" s="496">
        <f t="shared" si="10"/>
        <v>2036</v>
      </c>
      <c r="D38" s="509">
        <f>IF(F37+SUM(E$17:E37)=D$10,F37,D$10-SUM(E$17:E37))</f>
        <v>4323657.2947546784</v>
      </c>
      <c r="E38" s="510">
        <f t="shared" si="4"/>
        <v>208173.26829268291</v>
      </c>
      <c r="F38" s="511">
        <f t="shared" si="5"/>
        <v>4115484.0264619957</v>
      </c>
      <c r="G38" s="512">
        <f t="shared" si="6"/>
        <v>703934.95859383047</v>
      </c>
      <c r="H38" s="478">
        <f t="shared" si="7"/>
        <v>703934.95859383047</v>
      </c>
      <c r="I38" s="501">
        <f t="shared" si="3"/>
        <v>0</v>
      </c>
      <c r="J38" s="501"/>
      <c r="K38" s="513"/>
      <c r="L38" s="505">
        <f t="shared" si="8"/>
        <v>0</v>
      </c>
      <c r="M38" s="513"/>
      <c r="N38" s="505">
        <f t="shared" si="1"/>
        <v>0</v>
      </c>
      <c r="O38" s="505">
        <f t="shared" si="2"/>
        <v>0</v>
      </c>
      <c r="P38" s="279"/>
      <c r="R38" s="244"/>
      <c r="S38" s="244"/>
      <c r="T38" s="244"/>
      <c r="U38" s="244"/>
    </row>
    <row r="39" spans="2:21" ht="12.5">
      <c r="B39" s="145" t="str">
        <f t="shared" si="9"/>
        <v/>
      </c>
      <c r="C39" s="496">
        <f t="shared" si="10"/>
        <v>2037</v>
      </c>
      <c r="D39" s="509">
        <f>IF(F38+SUM(E$17:E38)=D$10,F38,D$10-SUM(E$17:E38))</f>
        <v>4115484.0264619957</v>
      </c>
      <c r="E39" s="510">
        <f t="shared" si="4"/>
        <v>208173.26829268291</v>
      </c>
      <c r="F39" s="511">
        <f t="shared" si="5"/>
        <v>3907310.758169313</v>
      </c>
      <c r="G39" s="512">
        <f t="shared" si="6"/>
        <v>679476.46751374123</v>
      </c>
      <c r="H39" s="478">
        <f t="shared" si="7"/>
        <v>679476.46751374123</v>
      </c>
      <c r="I39" s="501">
        <f t="shared" si="3"/>
        <v>0</v>
      </c>
      <c r="J39" s="501"/>
      <c r="K39" s="513"/>
      <c r="L39" s="505">
        <f t="shared" si="8"/>
        <v>0</v>
      </c>
      <c r="M39" s="513"/>
      <c r="N39" s="505">
        <f t="shared" si="1"/>
        <v>0</v>
      </c>
      <c r="O39" s="505">
        <f t="shared" si="2"/>
        <v>0</v>
      </c>
      <c r="P39" s="279"/>
      <c r="R39" s="244"/>
      <c r="S39" s="244"/>
      <c r="T39" s="244"/>
      <c r="U39" s="244"/>
    </row>
    <row r="40" spans="2:21" ht="12.5">
      <c r="B40" s="145" t="str">
        <f t="shared" si="9"/>
        <v/>
      </c>
      <c r="C40" s="496">
        <f t="shared" si="10"/>
        <v>2038</v>
      </c>
      <c r="D40" s="509">
        <f>IF(F39+SUM(E$17:E39)=D$10,F39,D$10-SUM(E$17:E39))</f>
        <v>3907310.758169313</v>
      </c>
      <c r="E40" s="510">
        <f t="shared" si="4"/>
        <v>208173.26829268291</v>
      </c>
      <c r="F40" s="511">
        <f t="shared" si="5"/>
        <v>3699137.4898766303</v>
      </c>
      <c r="G40" s="512">
        <f t="shared" si="6"/>
        <v>655017.97643365222</v>
      </c>
      <c r="H40" s="478">
        <f t="shared" si="7"/>
        <v>655017.97643365222</v>
      </c>
      <c r="I40" s="501">
        <f t="shared" si="3"/>
        <v>0</v>
      </c>
      <c r="J40" s="501"/>
      <c r="K40" s="513"/>
      <c r="L40" s="505">
        <f t="shared" si="8"/>
        <v>0</v>
      </c>
      <c r="M40" s="513"/>
      <c r="N40" s="505">
        <f t="shared" si="1"/>
        <v>0</v>
      </c>
      <c r="O40" s="505">
        <f t="shared" si="2"/>
        <v>0</v>
      </c>
      <c r="P40" s="279"/>
      <c r="R40" s="244"/>
      <c r="S40" s="244"/>
      <c r="T40" s="244"/>
      <c r="U40" s="244"/>
    </row>
    <row r="41" spans="2:21" ht="12.5">
      <c r="B41" s="145" t="str">
        <f t="shared" si="9"/>
        <v/>
      </c>
      <c r="C41" s="496">
        <f t="shared" si="10"/>
        <v>2039</v>
      </c>
      <c r="D41" s="509">
        <f>IF(F40+SUM(E$17:E40)=D$10,F40,D$10-SUM(E$17:E40))</f>
        <v>3699137.4898766303</v>
      </c>
      <c r="E41" s="510">
        <f t="shared" si="4"/>
        <v>208173.26829268291</v>
      </c>
      <c r="F41" s="511">
        <f t="shared" si="5"/>
        <v>3490964.2215839475</v>
      </c>
      <c r="G41" s="512">
        <f t="shared" si="6"/>
        <v>630559.4853535631</v>
      </c>
      <c r="H41" s="478">
        <f t="shared" si="7"/>
        <v>630559.4853535631</v>
      </c>
      <c r="I41" s="501">
        <f t="shared" si="3"/>
        <v>0</v>
      </c>
      <c r="J41" s="501"/>
      <c r="K41" s="513"/>
      <c r="L41" s="505">
        <f t="shared" si="8"/>
        <v>0</v>
      </c>
      <c r="M41" s="513"/>
      <c r="N41" s="505">
        <f t="shared" si="1"/>
        <v>0</v>
      </c>
      <c r="O41" s="505">
        <f t="shared" si="2"/>
        <v>0</v>
      </c>
      <c r="P41" s="279"/>
      <c r="R41" s="244"/>
      <c r="S41" s="244"/>
      <c r="T41" s="244"/>
      <c r="U41" s="244"/>
    </row>
    <row r="42" spans="2:21" ht="12.5">
      <c r="B42" s="145" t="str">
        <f t="shared" si="9"/>
        <v/>
      </c>
      <c r="C42" s="496">
        <f t="shared" si="10"/>
        <v>2040</v>
      </c>
      <c r="D42" s="509">
        <f>IF(F41+SUM(E$17:E41)=D$10,F41,D$10-SUM(E$17:E41))</f>
        <v>3490964.2215839475</v>
      </c>
      <c r="E42" s="510">
        <f t="shared" si="4"/>
        <v>208173.26829268291</v>
      </c>
      <c r="F42" s="511">
        <f t="shared" si="5"/>
        <v>3282790.9532912648</v>
      </c>
      <c r="G42" s="512">
        <f t="shared" si="6"/>
        <v>606100.99427347409</v>
      </c>
      <c r="H42" s="478">
        <f t="shared" si="7"/>
        <v>606100.99427347409</v>
      </c>
      <c r="I42" s="501">
        <f t="shared" si="3"/>
        <v>0</v>
      </c>
      <c r="J42" s="501"/>
      <c r="K42" s="513"/>
      <c r="L42" s="505">
        <f t="shared" si="8"/>
        <v>0</v>
      </c>
      <c r="M42" s="513"/>
      <c r="N42" s="505">
        <f t="shared" si="1"/>
        <v>0</v>
      </c>
      <c r="O42" s="505">
        <f t="shared" si="2"/>
        <v>0</v>
      </c>
      <c r="P42" s="279"/>
      <c r="R42" s="244"/>
      <c r="S42" s="244"/>
      <c r="T42" s="244"/>
      <c r="U42" s="244"/>
    </row>
    <row r="43" spans="2:21" ht="12.5">
      <c r="B43" s="145" t="str">
        <f t="shared" si="9"/>
        <v/>
      </c>
      <c r="C43" s="496">
        <f>IF(D11="","-",+C42+1)</f>
        <v>2041</v>
      </c>
      <c r="D43" s="509">
        <f>IF(F42+SUM(E$17:E42)=D$10,F42,D$10-SUM(E$17:E42))</f>
        <v>3282790.9532912648</v>
      </c>
      <c r="E43" s="510">
        <f t="shared" si="4"/>
        <v>208173.26829268291</v>
      </c>
      <c r="F43" s="511">
        <f t="shared" si="5"/>
        <v>3074617.6849985821</v>
      </c>
      <c r="G43" s="512">
        <f t="shared" si="6"/>
        <v>581642.50319338485</v>
      </c>
      <c r="H43" s="478">
        <f t="shared" si="7"/>
        <v>581642.50319338485</v>
      </c>
      <c r="I43" s="501">
        <f t="shared" si="3"/>
        <v>0</v>
      </c>
      <c r="J43" s="501"/>
      <c r="K43" s="513"/>
      <c r="L43" s="505">
        <f t="shared" si="8"/>
        <v>0</v>
      </c>
      <c r="M43" s="513"/>
      <c r="N43" s="505">
        <f t="shared" si="1"/>
        <v>0</v>
      </c>
      <c r="O43" s="505">
        <f t="shared" si="2"/>
        <v>0</v>
      </c>
      <c r="P43" s="279"/>
      <c r="R43" s="244"/>
      <c r="S43" s="244"/>
      <c r="T43" s="244"/>
      <c r="U43" s="244"/>
    </row>
    <row r="44" spans="2:21" ht="12.5">
      <c r="B44" s="145" t="str">
        <f t="shared" si="9"/>
        <v/>
      </c>
      <c r="C44" s="496">
        <f>IF(D11="","-",+C43+1)</f>
        <v>2042</v>
      </c>
      <c r="D44" s="509">
        <f>IF(F43+SUM(E$17:E43)=D$10,F43,D$10-SUM(E$17:E43))</f>
        <v>3074617.6849985821</v>
      </c>
      <c r="E44" s="510">
        <f t="shared" si="4"/>
        <v>208173.26829268291</v>
      </c>
      <c r="F44" s="511">
        <f t="shared" si="5"/>
        <v>2866444.4167058994</v>
      </c>
      <c r="G44" s="512">
        <f t="shared" si="6"/>
        <v>557184.01211329584</v>
      </c>
      <c r="H44" s="478">
        <f t="shared" si="7"/>
        <v>557184.01211329584</v>
      </c>
      <c r="I44" s="501">
        <f t="shared" si="3"/>
        <v>0</v>
      </c>
      <c r="J44" s="501"/>
      <c r="K44" s="513"/>
      <c r="L44" s="505">
        <f t="shared" si="8"/>
        <v>0</v>
      </c>
      <c r="M44" s="513"/>
      <c r="N44" s="505">
        <f t="shared" si="1"/>
        <v>0</v>
      </c>
      <c r="O44" s="505">
        <f t="shared" si="2"/>
        <v>0</v>
      </c>
      <c r="P44" s="279"/>
      <c r="R44" s="244"/>
      <c r="S44" s="244"/>
      <c r="T44" s="244"/>
      <c r="U44" s="244"/>
    </row>
    <row r="45" spans="2:21" ht="12.5">
      <c r="B45" s="145" t="str">
        <f t="shared" si="9"/>
        <v/>
      </c>
      <c r="C45" s="496">
        <f>IF(D11="","-",+C44+1)</f>
        <v>2043</v>
      </c>
      <c r="D45" s="509">
        <f>IF(F44+SUM(E$17:E44)=D$10,F44,D$10-SUM(E$17:E44))</f>
        <v>2866444.4167058994</v>
      </c>
      <c r="E45" s="510">
        <f t="shared" si="4"/>
        <v>208173.26829268291</v>
      </c>
      <c r="F45" s="511">
        <f t="shared" si="5"/>
        <v>2658271.1484132167</v>
      </c>
      <c r="G45" s="512">
        <f t="shared" si="6"/>
        <v>532725.52103320672</v>
      </c>
      <c r="H45" s="478">
        <f t="shared" si="7"/>
        <v>532725.52103320672</v>
      </c>
      <c r="I45" s="501">
        <f t="shared" si="3"/>
        <v>0</v>
      </c>
      <c r="J45" s="501"/>
      <c r="K45" s="513"/>
      <c r="L45" s="505">
        <f t="shared" si="8"/>
        <v>0</v>
      </c>
      <c r="M45" s="513"/>
      <c r="N45" s="505">
        <f t="shared" si="1"/>
        <v>0</v>
      </c>
      <c r="O45" s="505">
        <f t="shared" si="2"/>
        <v>0</v>
      </c>
      <c r="P45" s="279"/>
      <c r="R45" s="244"/>
      <c r="S45" s="244"/>
      <c r="T45" s="244"/>
      <c r="U45" s="244"/>
    </row>
    <row r="46" spans="2:21" ht="12.5">
      <c r="B46" s="145" t="str">
        <f t="shared" si="9"/>
        <v/>
      </c>
      <c r="C46" s="496">
        <f>IF(D11="","-",+C45+1)</f>
        <v>2044</v>
      </c>
      <c r="D46" s="509">
        <f>IF(F45+SUM(E$17:E45)=D$10,F45,D$10-SUM(E$17:E45))</f>
        <v>2658271.1484132167</v>
      </c>
      <c r="E46" s="510">
        <f t="shared" si="4"/>
        <v>208173.26829268291</v>
      </c>
      <c r="F46" s="511">
        <f t="shared" si="5"/>
        <v>2450097.880120534</v>
      </c>
      <c r="G46" s="512">
        <f t="shared" si="6"/>
        <v>508267.02995311772</v>
      </c>
      <c r="H46" s="478">
        <f t="shared" si="7"/>
        <v>508267.02995311772</v>
      </c>
      <c r="I46" s="501">
        <f t="shared" si="3"/>
        <v>0</v>
      </c>
      <c r="J46" s="501"/>
      <c r="K46" s="513"/>
      <c r="L46" s="505">
        <f t="shared" si="8"/>
        <v>0</v>
      </c>
      <c r="M46" s="513"/>
      <c r="N46" s="505">
        <f t="shared" si="1"/>
        <v>0</v>
      </c>
      <c r="O46" s="505">
        <f t="shared" si="2"/>
        <v>0</v>
      </c>
      <c r="P46" s="279"/>
      <c r="R46" s="244"/>
      <c r="S46" s="244"/>
      <c r="T46" s="244"/>
      <c r="U46" s="244"/>
    </row>
    <row r="47" spans="2:21" ht="12.5">
      <c r="B47" s="145" t="str">
        <f t="shared" si="0"/>
        <v/>
      </c>
      <c r="C47" s="496">
        <f>IF(D11="","-",+C46+1)</f>
        <v>2045</v>
      </c>
      <c r="D47" s="509">
        <f>IF(F46+SUM(E$17:E46)=D$10,F46,D$10-SUM(E$17:E46))</f>
        <v>2450097.880120534</v>
      </c>
      <c r="E47" s="510">
        <f t="shared" si="4"/>
        <v>208173.26829268291</v>
      </c>
      <c r="F47" s="511">
        <f t="shared" si="5"/>
        <v>2241924.6118278513</v>
      </c>
      <c r="G47" s="512">
        <f t="shared" si="6"/>
        <v>483808.53887302848</v>
      </c>
      <c r="H47" s="478">
        <f t="shared" si="7"/>
        <v>483808.53887302848</v>
      </c>
      <c r="I47" s="501">
        <f t="shared" si="3"/>
        <v>0</v>
      </c>
      <c r="J47" s="501"/>
      <c r="K47" s="513"/>
      <c r="L47" s="505">
        <f t="shared" si="8"/>
        <v>0</v>
      </c>
      <c r="M47" s="513"/>
      <c r="N47" s="505">
        <f t="shared" si="1"/>
        <v>0</v>
      </c>
      <c r="O47" s="505">
        <f t="shared" si="2"/>
        <v>0</v>
      </c>
      <c r="P47" s="279"/>
      <c r="R47" s="244"/>
      <c r="S47" s="244"/>
      <c r="T47" s="244"/>
      <c r="U47" s="244"/>
    </row>
    <row r="48" spans="2:21" ht="12.5">
      <c r="B48" s="145" t="str">
        <f t="shared" si="0"/>
        <v/>
      </c>
      <c r="C48" s="496">
        <f>IF(D11="","-",+C47+1)</f>
        <v>2046</v>
      </c>
      <c r="D48" s="509">
        <f>IF(F47+SUM(E$17:E47)=D$10,F47,D$10-SUM(E$17:E47))</f>
        <v>2241924.6118278513</v>
      </c>
      <c r="E48" s="510">
        <f t="shared" si="4"/>
        <v>208173.26829268291</v>
      </c>
      <c r="F48" s="511">
        <f t="shared" si="5"/>
        <v>2033751.3435351683</v>
      </c>
      <c r="G48" s="512">
        <f t="shared" si="6"/>
        <v>459350.04779293947</v>
      </c>
      <c r="H48" s="478">
        <f t="shared" si="7"/>
        <v>459350.04779293947</v>
      </c>
      <c r="I48" s="501">
        <f t="shared" si="3"/>
        <v>0</v>
      </c>
      <c r="J48" s="501"/>
      <c r="K48" s="513"/>
      <c r="L48" s="505">
        <f t="shared" si="8"/>
        <v>0</v>
      </c>
      <c r="M48" s="513"/>
      <c r="N48" s="505">
        <f t="shared" si="1"/>
        <v>0</v>
      </c>
      <c r="O48" s="505">
        <f t="shared" si="2"/>
        <v>0</v>
      </c>
      <c r="P48" s="279"/>
      <c r="R48" s="244"/>
      <c r="S48" s="244"/>
      <c r="T48" s="244"/>
      <c r="U48" s="244"/>
    </row>
    <row r="49" spans="2:21" ht="12.5">
      <c r="B49" s="145" t="str">
        <f t="shared" si="0"/>
        <v/>
      </c>
      <c r="C49" s="496">
        <f>IF(D11="","-",+C48+1)</f>
        <v>2047</v>
      </c>
      <c r="D49" s="509">
        <f>IF(F48+SUM(E$17:E48)=D$10,F48,D$10-SUM(E$17:E48))</f>
        <v>2033751.3435351683</v>
      </c>
      <c r="E49" s="510">
        <f t="shared" si="4"/>
        <v>208173.26829268291</v>
      </c>
      <c r="F49" s="511">
        <f t="shared" si="5"/>
        <v>1825578.0752424854</v>
      </c>
      <c r="G49" s="512">
        <f t="shared" si="6"/>
        <v>434891.55671285035</v>
      </c>
      <c r="H49" s="478">
        <f t="shared" si="7"/>
        <v>434891.55671285035</v>
      </c>
      <c r="I49" s="501">
        <f t="shared" si="3"/>
        <v>0</v>
      </c>
      <c r="J49" s="501"/>
      <c r="K49" s="513"/>
      <c r="L49" s="505">
        <f t="shared" si="8"/>
        <v>0</v>
      </c>
      <c r="M49" s="513"/>
      <c r="N49" s="505">
        <f t="shared" si="1"/>
        <v>0</v>
      </c>
      <c r="O49" s="505">
        <f t="shared" si="2"/>
        <v>0</v>
      </c>
      <c r="P49" s="279"/>
      <c r="R49" s="244"/>
      <c r="S49" s="244"/>
      <c r="T49" s="244"/>
      <c r="U49" s="244"/>
    </row>
    <row r="50" spans="2:21" ht="12.5">
      <c r="B50" s="145" t="str">
        <f t="shared" si="0"/>
        <v/>
      </c>
      <c r="C50" s="496">
        <f>IF(D11="","-",+C49+1)</f>
        <v>2048</v>
      </c>
      <c r="D50" s="509">
        <f>IF(F49+SUM(E$17:E49)=D$10,F49,D$10-SUM(E$17:E49))</f>
        <v>1825578.0752424854</v>
      </c>
      <c r="E50" s="510">
        <f t="shared" si="4"/>
        <v>208173.26829268291</v>
      </c>
      <c r="F50" s="511">
        <f t="shared" si="5"/>
        <v>1617404.8069498024</v>
      </c>
      <c r="G50" s="512">
        <f t="shared" si="6"/>
        <v>410433.06563276122</v>
      </c>
      <c r="H50" s="478">
        <f t="shared" si="7"/>
        <v>410433.06563276122</v>
      </c>
      <c r="I50" s="501">
        <f t="shared" si="3"/>
        <v>0</v>
      </c>
      <c r="J50" s="501"/>
      <c r="K50" s="513"/>
      <c r="L50" s="505">
        <f t="shared" si="8"/>
        <v>0</v>
      </c>
      <c r="M50" s="513"/>
      <c r="N50" s="505">
        <f t="shared" si="1"/>
        <v>0</v>
      </c>
      <c r="O50" s="505">
        <f t="shared" si="2"/>
        <v>0</v>
      </c>
      <c r="P50" s="279"/>
      <c r="R50" s="244"/>
      <c r="S50" s="244"/>
      <c r="T50" s="244"/>
      <c r="U50" s="244"/>
    </row>
    <row r="51" spans="2:21" ht="12.5">
      <c r="B51" s="145" t="str">
        <f t="shared" si="0"/>
        <v/>
      </c>
      <c r="C51" s="496">
        <f>IF(D11="","-",+C50+1)</f>
        <v>2049</v>
      </c>
      <c r="D51" s="509">
        <f>IF(F50+SUM(E$17:E50)=D$10,F50,D$10-SUM(E$17:E50))</f>
        <v>1617404.8069498024</v>
      </c>
      <c r="E51" s="510">
        <f t="shared" si="4"/>
        <v>208173.26829268291</v>
      </c>
      <c r="F51" s="511">
        <f t="shared" si="5"/>
        <v>1409231.5386571195</v>
      </c>
      <c r="G51" s="512">
        <f t="shared" si="6"/>
        <v>385974.5745526721</v>
      </c>
      <c r="H51" s="478">
        <f t="shared" si="7"/>
        <v>385974.5745526721</v>
      </c>
      <c r="I51" s="501">
        <f t="shared" si="3"/>
        <v>0</v>
      </c>
      <c r="J51" s="501"/>
      <c r="K51" s="513"/>
      <c r="L51" s="505">
        <f t="shared" si="8"/>
        <v>0</v>
      </c>
      <c r="M51" s="513"/>
      <c r="N51" s="505">
        <f t="shared" si="1"/>
        <v>0</v>
      </c>
      <c r="O51" s="505">
        <f t="shared" si="2"/>
        <v>0</v>
      </c>
      <c r="P51" s="279"/>
      <c r="R51" s="244"/>
      <c r="S51" s="244"/>
      <c r="T51" s="244"/>
      <c r="U51" s="244"/>
    </row>
    <row r="52" spans="2:21" ht="12.5">
      <c r="B52" s="145" t="str">
        <f t="shared" si="0"/>
        <v/>
      </c>
      <c r="C52" s="496">
        <f>IF(D11="","-",+C51+1)</f>
        <v>2050</v>
      </c>
      <c r="D52" s="509">
        <f>IF(F51+SUM(E$17:E51)=D$10,F51,D$10-SUM(E$17:E51))</f>
        <v>1409231.5386571195</v>
      </c>
      <c r="E52" s="510">
        <f t="shared" si="4"/>
        <v>208173.26829268291</v>
      </c>
      <c r="F52" s="511">
        <f t="shared" si="5"/>
        <v>1201058.2703644366</v>
      </c>
      <c r="G52" s="512">
        <f t="shared" si="6"/>
        <v>361516.08347258298</v>
      </c>
      <c r="H52" s="478">
        <f t="shared" si="7"/>
        <v>361516.08347258298</v>
      </c>
      <c r="I52" s="501">
        <f t="shared" si="3"/>
        <v>0</v>
      </c>
      <c r="J52" s="501"/>
      <c r="K52" s="513"/>
      <c r="L52" s="505">
        <f t="shared" si="8"/>
        <v>0</v>
      </c>
      <c r="M52" s="513"/>
      <c r="N52" s="505">
        <f t="shared" si="1"/>
        <v>0</v>
      </c>
      <c r="O52" s="505">
        <f t="shared" si="2"/>
        <v>0</v>
      </c>
      <c r="P52" s="279"/>
      <c r="R52" s="244"/>
      <c r="S52" s="244"/>
      <c r="T52" s="244"/>
      <c r="U52" s="244"/>
    </row>
    <row r="53" spans="2:21" ht="12.5">
      <c r="B53" s="145" t="str">
        <f t="shared" si="0"/>
        <v>IU</v>
      </c>
      <c r="C53" s="496">
        <f>IF(D11="","-",+C52+1)</f>
        <v>2051</v>
      </c>
      <c r="D53" s="509">
        <f>IF(F52+SUM(E$17:E52)=D$10,F52,D$10-SUM(E$17:E52))</f>
        <v>1201058.2703644317</v>
      </c>
      <c r="E53" s="510">
        <f t="shared" si="4"/>
        <v>208173.26829268291</v>
      </c>
      <c r="F53" s="511">
        <f t="shared" si="5"/>
        <v>992885.00207174872</v>
      </c>
      <c r="G53" s="512">
        <f t="shared" si="6"/>
        <v>337057.59239249327</v>
      </c>
      <c r="H53" s="478">
        <f t="shared" si="7"/>
        <v>337057.59239249327</v>
      </c>
      <c r="I53" s="501">
        <f t="shared" si="3"/>
        <v>0</v>
      </c>
      <c r="J53" s="501"/>
      <c r="K53" s="513"/>
      <c r="L53" s="505">
        <f t="shared" si="8"/>
        <v>0</v>
      </c>
      <c r="M53" s="513"/>
      <c r="N53" s="505">
        <f t="shared" si="1"/>
        <v>0</v>
      </c>
      <c r="O53" s="505">
        <f t="shared" si="2"/>
        <v>0</v>
      </c>
      <c r="P53" s="279"/>
      <c r="R53" s="244"/>
      <c r="S53" s="244"/>
      <c r="T53" s="244"/>
      <c r="U53" s="244"/>
    </row>
    <row r="54" spans="2:21" ht="12.5">
      <c r="B54" s="145" t="str">
        <f t="shared" si="0"/>
        <v/>
      </c>
      <c r="C54" s="496">
        <f>IF(D11="","-",+C53+1)</f>
        <v>2052</v>
      </c>
      <c r="D54" s="509">
        <f>IF(F53+SUM(E$17:E53)=D$10,F53,D$10-SUM(E$17:E53))</f>
        <v>992885.00207174872</v>
      </c>
      <c r="E54" s="510">
        <f t="shared" si="4"/>
        <v>208173.26829268291</v>
      </c>
      <c r="F54" s="511">
        <f t="shared" si="5"/>
        <v>784711.73377906578</v>
      </c>
      <c r="G54" s="512">
        <f t="shared" si="6"/>
        <v>312599.10131240415</v>
      </c>
      <c r="H54" s="478">
        <f t="shared" si="7"/>
        <v>312599.10131240415</v>
      </c>
      <c r="I54" s="501">
        <f t="shared" si="3"/>
        <v>0</v>
      </c>
      <c r="J54" s="501"/>
      <c r="K54" s="513"/>
      <c r="L54" s="505">
        <f t="shared" si="8"/>
        <v>0</v>
      </c>
      <c r="M54" s="513"/>
      <c r="N54" s="505">
        <f t="shared" si="1"/>
        <v>0</v>
      </c>
      <c r="O54" s="505">
        <f t="shared" si="2"/>
        <v>0</v>
      </c>
      <c r="P54" s="279"/>
      <c r="R54" s="244"/>
      <c r="S54" s="244"/>
      <c r="T54" s="244"/>
      <c r="U54" s="244"/>
    </row>
    <row r="55" spans="2:21" ht="12.5">
      <c r="B55" s="145" t="str">
        <f t="shared" si="0"/>
        <v/>
      </c>
      <c r="C55" s="496">
        <f>IF(D11="","-",+C54+1)</f>
        <v>2053</v>
      </c>
      <c r="D55" s="509">
        <f>IF(F54+SUM(E$17:E54)=D$10,F54,D$10-SUM(E$17:E54))</f>
        <v>784711.73377906578</v>
      </c>
      <c r="E55" s="510">
        <f t="shared" si="4"/>
        <v>208173.26829268291</v>
      </c>
      <c r="F55" s="511">
        <f t="shared" si="5"/>
        <v>576538.46548638283</v>
      </c>
      <c r="G55" s="512">
        <f t="shared" si="6"/>
        <v>288140.61023231503</v>
      </c>
      <c r="H55" s="478">
        <f t="shared" si="7"/>
        <v>288140.61023231503</v>
      </c>
      <c r="I55" s="501">
        <f t="shared" si="3"/>
        <v>0</v>
      </c>
      <c r="J55" s="501"/>
      <c r="K55" s="513"/>
      <c r="L55" s="505">
        <f t="shared" si="8"/>
        <v>0</v>
      </c>
      <c r="M55" s="513"/>
      <c r="N55" s="505">
        <f t="shared" si="1"/>
        <v>0</v>
      </c>
      <c r="O55" s="505">
        <f t="shared" si="2"/>
        <v>0</v>
      </c>
      <c r="P55" s="279"/>
      <c r="R55" s="244"/>
      <c r="S55" s="244"/>
      <c r="T55" s="244"/>
      <c r="U55" s="244"/>
    </row>
    <row r="56" spans="2:21" ht="12.5">
      <c r="B56" s="145" t="str">
        <f t="shared" si="0"/>
        <v/>
      </c>
      <c r="C56" s="496">
        <f>IF(D11="","-",+C55+1)</f>
        <v>2054</v>
      </c>
      <c r="D56" s="509">
        <f>IF(F55+SUM(E$17:E55)=D$10,F55,D$10-SUM(E$17:E55))</f>
        <v>576538.46548638283</v>
      </c>
      <c r="E56" s="510">
        <f t="shared" si="4"/>
        <v>208173.26829268291</v>
      </c>
      <c r="F56" s="511">
        <f t="shared" si="5"/>
        <v>368365.19719369989</v>
      </c>
      <c r="G56" s="512">
        <f t="shared" si="6"/>
        <v>263682.1191522259</v>
      </c>
      <c r="H56" s="478">
        <f t="shared" si="7"/>
        <v>263682.1191522259</v>
      </c>
      <c r="I56" s="501">
        <f t="shared" si="3"/>
        <v>0</v>
      </c>
      <c r="J56" s="501"/>
      <c r="K56" s="513"/>
      <c r="L56" s="505">
        <f t="shared" si="8"/>
        <v>0</v>
      </c>
      <c r="M56" s="513"/>
      <c r="N56" s="505">
        <f t="shared" si="1"/>
        <v>0</v>
      </c>
      <c r="O56" s="505">
        <f t="shared" si="2"/>
        <v>0</v>
      </c>
      <c r="P56" s="279"/>
      <c r="R56" s="244"/>
      <c r="S56" s="244"/>
      <c r="T56" s="244"/>
      <c r="U56" s="244"/>
    </row>
    <row r="57" spans="2:21" ht="12.5">
      <c r="B57" s="145" t="str">
        <f t="shared" si="0"/>
        <v/>
      </c>
      <c r="C57" s="496">
        <f>IF(D11="","-",+C56+1)</f>
        <v>2055</v>
      </c>
      <c r="D57" s="509">
        <f>IF(F56+SUM(E$17:E56)=D$10,F56,D$10-SUM(E$17:E56))</f>
        <v>368365.19719369989</v>
      </c>
      <c r="E57" s="510">
        <f t="shared" si="4"/>
        <v>208173.26829268291</v>
      </c>
      <c r="F57" s="511">
        <f t="shared" si="5"/>
        <v>160191.92890101697</v>
      </c>
      <c r="G57" s="512">
        <f t="shared" si="6"/>
        <v>239223.62807213681</v>
      </c>
      <c r="H57" s="478">
        <f t="shared" si="7"/>
        <v>239223.62807213681</v>
      </c>
      <c r="I57" s="501">
        <f t="shared" si="3"/>
        <v>0</v>
      </c>
      <c r="J57" s="501"/>
      <c r="K57" s="513"/>
      <c r="L57" s="505">
        <f t="shared" si="8"/>
        <v>0</v>
      </c>
      <c r="M57" s="513"/>
      <c r="N57" s="505">
        <f t="shared" si="1"/>
        <v>0</v>
      </c>
      <c r="O57" s="505">
        <f t="shared" si="2"/>
        <v>0</v>
      </c>
      <c r="P57" s="279"/>
      <c r="R57" s="244"/>
      <c r="S57" s="244"/>
      <c r="T57" s="244"/>
      <c r="U57" s="244"/>
    </row>
    <row r="58" spans="2:21" ht="12.5">
      <c r="B58" s="145" t="str">
        <f t="shared" si="0"/>
        <v/>
      </c>
      <c r="C58" s="496">
        <f>IF(D11="","-",+C57+1)</f>
        <v>2056</v>
      </c>
      <c r="D58" s="509">
        <f>IF(F57+SUM(E$17:E57)=D$10,F57,D$10-SUM(E$17:E57))</f>
        <v>160191.92890101697</v>
      </c>
      <c r="E58" s="510">
        <f t="shared" si="4"/>
        <v>160191.92890101697</v>
      </c>
      <c r="F58" s="511">
        <f t="shared" si="5"/>
        <v>0</v>
      </c>
      <c r="G58" s="512">
        <f t="shared" si="6"/>
        <v>169602.48602072164</v>
      </c>
      <c r="H58" s="478">
        <f t="shared" si="7"/>
        <v>169602.48602072164</v>
      </c>
      <c r="I58" s="501">
        <f t="shared" si="3"/>
        <v>0</v>
      </c>
      <c r="J58" s="501"/>
      <c r="K58" s="513"/>
      <c r="L58" s="505">
        <f t="shared" si="8"/>
        <v>0</v>
      </c>
      <c r="M58" s="513"/>
      <c r="N58" s="505">
        <f t="shared" si="1"/>
        <v>0</v>
      </c>
      <c r="O58" s="505">
        <f t="shared" si="2"/>
        <v>0</v>
      </c>
      <c r="P58" s="279"/>
      <c r="R58" s="244"/>
      <c r="S58" s="244"/>
      <c r="T58" s="244"/>
      <c r="U58" s="244"/>
    </row>
    <row r="59" spans="2:21" ht="12.5">
      <c r="B59" s="145" t="str">
        <f t="shared" si="0"/>
        <v/>
      </c>
      <c r="C59" s="496">
        <f>IF(D11="","-",+C58+1)</f>
        <v>2057</v>
      </c>
      <c r="D59" s="509">
        <f>IF(F58+SUM(E$17:E58)=D$10,F58,D$10-SUM(E$17:E58))</f>
        <v>0</v>
      </c>
      <c r="E59" s="510">
        <f t="shared" si="4"/>
        <v>0</v>
      </c>
      <c r="F59" s="511">
        <f t="shared" si="5"/>
        <v>0</v>
      </c>
      <c r="G59" s="512">
        <f t="shared" si="6"/>
        <v>0</v>
      </c>
      <c r="H59" s="478">
        <f t="shared" si="7"/>
        <v>0</v>
      </c>
      <c r="I59" s="501">
        <f t="shared" si="3"/>
        <v>0</v>
      </c>
      <c r="J59" s="501"/>
      <c r="K59" s="513"/>
      <c r="L59" s="505">
        <f t="shared" si="8"/>
        <v>0</v>
      </c>
      <c r="M59" s="513"/>
      <c r="N59" s="505">
        <f t="shared" si="1"/>
        <v>0</v>
      </c>
      <c r="O59" s="505">
        <f t="shared" si="2"/>
        <v>0</v>
      </c>
      <c r="P59" s="279"/>
      <c r="R59" s="244"/>
      <c r="S59" s="244"/>
      <c r="T59" s="244"/>
      <c r="U59" s="244"/>
    </row>
    <row r="60" spans="2:21" ht="12.5">
      <c r="B60" s="145" t="str">
        <f t="shared" si="0"/>
        <v/>
      </c>
      <c r="C60" s="496">
        <f>IF(D11="","-",+C59+1)</f>
        <v>2058</v>
      </c>
      <c r="D60" s="509">
        <f>IF(F59+SUM(E$17:E59)=D$10,F59,D$10-SUM(E$17:E59))</f>
        <v>0</v>
      </c>
      <c r="E60" s="510">
        <f t="shared" si="4"/>
        <v>0</v>
      </c>
      <c r="F60" s="511">
        <f t="shared" si="5"/>
        <v>0</v>
      </c>
      <c r="G60" s="512">
        <f t="shared" si="6"/>
        <v>0</v>
      </c>
      <c r="H60" s="478">
        <f t="shared" si="7"/>
        <v>0</v>
      </c>
      <c r="I60" s="501">
        <f t="shared" si="3"/>
        <v>0</v>
      </c>
      <c r="J60" s="501"/>
      <c r="K60" s="513"/>
      <c r="L60" s="505">
        <f t="shared" si="8"/>
        <v>0</v>
      </c>
      <c r="M60" s="513"/>
      <c r="N60" s="505">
        <f t="shared" si="1"/>
        <v>0</v>
      </c>
      <c r="O60" s="505">
        <f t="shared" si="2"/>
        <v>0</v>
      </c>
      <c r="P60" s="279"/>
      <c r="R60" s="244"/>
      <c r="S60" s="244"/>
      <c r="T60" s="244"/>
      <c r="U60" s="244"/>
    </row>
    <row r="61" spans="2:21" ht="12.5">
      <c r="B61" s="145" t="str">
        <f>IF(D61=F60,"","IU")</f>
        <v/>
      </c>
      <c r="C61" s="496">
        <f>IF(D11="","-",+C60+1)</f>
        <v>2059</v>
      </c>
      <c r="D61" s="509">
        <f>IF(F60+SUM(E$17:E60)=D$10,F60,D$10-SUM(E$17:E60))</f>
        <v>0</v>
      </c>
      <c r="E61" s="510">
        <f t="shared" si="4"/>
        <v>0</v>
      </c>
      <c r="F61" s="511">
        <f t="shared" si="5"/>
        <v>0</v>
      </c>
      <c r="G61" s="512">
        <f t="shared" si="6"/>
        <v>0</v>
      </c>
      <c r="H61" s="478">
        <f t="shared" si="7"/>
        <v>0</v>
      </c>
      <c r="I61" s="501">
        <f t="shared" si="3"/>
        <v>0</v>
      </c>
      <c r="J61" s="501"/>
      <c r="K61" s="513"/>
      <c r="L61" s="505">
        <f t="shared" si="8"/>
        <v>0</v>
      </c>
      <c r="M61" s="513"/>
      <c r="N61" s="505">
        <f t="shared" si="1"/>
        <v>0</v>
      </c>
      <c r="O61" s="505">
        <f t="shared" si="2"/>
        <v>0</v>
      </c>
      <c r="P61" s="279"/>
      <c r="R61" s="244"/>
      <c r="S61" s="244"/>
      <c r="T61" s="244"/>
      <c r="U61" s="244"/>
    </row>
    <row r="62" spans="2:21" ht="12.5">
      <c r="B62" s="145" t="str">
        <f t="shared" si="0"/>
        <v/>
      </c>
      <c r="C62" s="496">
        <f>IF(D11="","-",+C61+1)</f>
        <v>2060</v>
      </c>
      <c r="D62" s="509">
        <f>IF(F61+SUM(E$17:E61)=D$10,F61,D$10-SUM(E$17:E61))</f>
        <v>0</v>
      </c>
      <c r="E62" s="510">
        <f t="shared" si="4"/>
        <v>0</v>
      </c>
      <c r="F62" s="511">
        <f t="shared" si="5"/>
        <v>0</v>
      </c>
      <c r="G62" s="512">
        <f t="shared" si="6"/>
        <v>0</v>
      </c>
      <c r="H62" s="478">
        <f t="shared" si="7"/>
        <v>0</v>
      </c>
      <c r="I62" s="501">
        <f t="shared" si="3"/>
        <v>0</v>
      </c>
      <c r="J62" s="501"/>
      <c r="K62" s="513"/>
      <c r="L62" s="505">
        <f t="shared" si="8"/>
        <v>0</v>
      </c>
      <c r="M62" s="513"/>
      <c r="N62" s="505">
        <f t="shared" si="1"/>
        <v>0</v>
      </c>
      <c r="O62" s="505">
        <f t="shared" si="2"/>
        <v>0</v>
      </c>
      <c r="P62" s="279"/>
      <c r="R62" s="244"/>
      <c r="S62" s="244"/>
      <c r="T62" s="244"/>
      <c r="U62" s="244"/>
    </row>
    <row r="63" spans="2:21" ht="12.5">
      <c r="B63" s="145" t="str">
        <f t="shared" si="0"/>
        <v/>
      </c>
      <c r="C63" s="496">
        <f>IF(D11="","-",+C62+1)</f>
        <v>2061</v>
      </c>
      <c r="D63" s="509">
        <f>IF(F62+SUM(E$17:E62)=D$10,F62,D$10-SUM(E$17:E62))</f>
        <v>0</v>
      </c>
      <c r="E63" s="510">
        <f t="shared" si="4"/>
        <v>0</v>
      </c>
      <c r="F63" s="511">
        <f t="shared" si="5"/>
        <v>0</v>
      </c>
      <c r="G63" s="512">
        <f t="shared" si="6"/>
        <v>0</v>
      </c>
      <c r="H63" s="478">
        <f t="shared" si="7"/>
        <v>0</v>
      </c>
      <c r="I63" s="501">
        <f t="shared" si="3"/>
        <v>0</v>
      </c>
      <c r="J63" s="501"/>
      <c r="K63" s="513"/>
      <c r="L63" s="505">
        <f t="shared" si="8"/>
        <v>0</v>
      </c>
      <c r="M63" s="513"/>
      <c r="N63" s="505">
        <f t="shared" si="1"/>
        <v>0</v>
      </c>
      <c r="O63" s="505">
        <f t="shared" si="2"/>
        <v>0</v>
      </c>
      <c r="P63" s="279"/>
      <c r="R63" s="244"/>
      <c r="S63" s="244"/>
      <c r="T63" s="244"/>
      <c r="U63" s="244"/>
    </row>
    <row r="64" spans="2:21" ht="12.5">
      <c r="B64" s="145" t="str">
        <f t="shared" si="0"/>
        <v/>
      </c>
      <c r="C64" s="496">
        <f>IF(D11="","-",+C63+1)</f>
        <v>2062</v>
      </c>
      <c r="D64" s="509">
        <f>IF(F63+SUM(E$17:E63)=D$10,F63,D$10-SUM(E$17:E63))</f>
        <v>0</v>
      </c>
      <c r="E64" s="510">
        <f t="shared" si="4"/>
        <v>0</v>
      </c>
      <c r="F64" s="511">
        <f t="shared" si="5"/>
        <v>0</v>
      </c>
      <c r="G64" s="512">
        <f t="shared" si="6"/>
        <v>0</v>
      </c>
      <c r="H64" s="478">
        <f t="shared" si="7"/>
        <v>0</v>
      </c>
      <c r="I64" s="501">
        <f t="shared" si="3"/>
        <v>0</v>
      </c>
      <c r="J64" s="501"/>
      <c r="K64" s="513"/>
      <c r="L64" s="505">
        <f t="shared" si="8"/>
        <v>0</v>
      </c>
      <c r="M64" s="513"/>
      <c r="N64" s="505">
        <f t="shared" si="1"/>
        <v>0</v>
      </c>
      <c r="O64" s="505">
        <f t="shared" si="2"/>
        <v>0</v>
      </c>
      <c r="P64" s="279"/>
      <c r="R64" s="244"/>
      <c r="S64" s="244"/>
      <c r="T64" s="244"/>
      <c r="U64" s="244"/>
    </row>
    <row r="65" spans="2:21" ht="12.5">
      <c r="B65" s="145" t="str">
        <f t="shared" si="0"/>
        <v/>
      </c>
      <c r="C65" s="496">
        <f>IF(D11="","-",+C64+1)</f>
        <v>2063</v>
      </c>
      <c r="D65" s="509">
        <f>IF(F64+SUM(E$17:E64)=D$10,F64,D$10-SUM(E$17:E64))</f>
        <v>0</v>
      </c>
      <c r="E65" s="510">
        <f t="shared" si="4"/>
        <v>0</v>
      </c>
      <c r="F65" s="511">
        <f t="shared" si="5"/>
        <v>0</v>
      </c>
      <c r="G65" s="512">
        <f t="shared" si="6"/>
        <v>0</v>
      </c>
      <c r="H65" s="478">
        <f t="shared" si="7"/>
        <v>0</v>
      </c>
      <c r="I65" s="501">
        <f t="shared" si="3"/>
        <v>0</v>
      </c>
      <c r="J65" s="501"/>
      <c r="K65" s="513"/>
      <c r="L65" s="505">
        <f t="shared" si="8"/>
        <v>0</v>
      </c>
      <c r="M65" s="513"/>
      <c r="N65" s="505">
        <f t="shared" si="1"/>
        <v>0</v>
      </c>
      <c r="O65" s="505">
        <f t="shared" si="2"/>
        <v>0</v>
      </c>
      <c r="P65" s="279"/>
      <c r="R65" s="244"/>
      <c r="S65" s="244"/>
      <c r="T65" s="244"/>
      <c r="U65" s="244"/>
    </row>
    <row r="66" spans="2:21" ht="12.5">
      <c r="B66" s="145" t="str">
        <f t="shared" si="0"/>
        <v/>
      </c>
      <c r="C66" s="496">
        <f>IF(D11="","-",+C65+1)</f>
        <v>2064</v>
      </c>
      <c r="D66" s="509">
        <f>IF(F65+SUM(E$17:E65)=D$10,F65,D$10-SUM(E$17:E65))</f>
        <v>0</v>
      </c>
      <c r="E66" s="510">
        <f t="shared" si="4"/>
        <v>0</v>
      </c>
      <c r="F66" s="511">
        <f t="shared" si="5"/>
        <v>0</v>
      </c>
      <c r="G66" s="512">
        <f t="shared" si="6"/>
        <v>0</v>
      </c>
      <c r="H66" s="478">
        <f t="shared" si="7"/>
        <v>0</v>
      </c>
      <c r="I66" s="501">
        <f t="shared" si="3"/>
        <v>0</v>
      </c>
      <c r="J66" s="501"/>
      <c r="K66" s="513"/>
      <c r="L66" s="505">
        <f t="shared" si="8"/>
        <v>0</v>
      </c>
      <c r="M66" s="513"/>
      <c r="N66" s="505">
        <f t="shared" si="1"/>
        <v>0</v>
      </c>
      <c r="O66" s="505">
        <f t="shared" si="2"/>
        <v>0</v>
      </c>
      <c r="P66" s="279"/>
      <c r="R66" s="244"/>
      <c r="S66" s="244"/>
      <c r="T66" s="244"/>
      <c r="U66" s="244"/>
    </row>
    <row r="67" spans="2:21" ht="12.5">
      <c r="B67" s="145" t="str">
        <f t="shared" si="0"/>
        <v/>
      </c>
      <c r="C67" s="496">
        <f>IF(D11="","-",+C66+1)</f>
        <v>2065</v>
      </c>
      <c r="D67" s="509">
        <f>IF(F66+SUM(E$17:E66)=D$10,F66,D$10-SUM(E$17:E66))</f>
        <v>0</v>
      </c>
      <c r="E67" s="510">
        <f t="shared" si="4"/>
        <v>0</v>
      </c>
      <c r="F67" s="511">
        <f t="shared" si="5"/>
        <v>0</v>
      </c>
      <c r="G67" s="512">
        <f t="shared" si="6"/>
        <v>0</v>
      </c>
      <c r="H67" s="478">
        <f t="shared" si="7"/>
        <v>0</v>
      </c>
      <c r="I67" s="501">
        <f t="shared" si="3"/>
        <v>0</v>
      </c>
      <c r="J67" s="501"/>
      <c r="K67" s="513"/>
      <c r="L67" s="505">
        <f t="shared" si="8"/>
        <v>0</v>
      </c>
      <c r="M67" s="513"/>
      <c r="N67" s="505">
        <f t="shared" si="1"/>
        <v>0</v>
      </c>
      <c r="O67" s="505">
        <f t="shared" si="2"/>
        <v>0</v>
      </c>
      <c r="P67" s="279"/>
      <c r="R67" s="244"/>
      <c r="S67" s="244"/>
      <c r="T67" s="244"/>
      <c r="U67" s="244"/>
    </row>
    <row r="68" spans="2:21" ht="12.5">
      <c r="B68" s="145" t="str">
        <f t="shared" si="0"/>
        <v/>
      </c>
      <c r="C68" s="496">
        <f>IF(D11="","-",+C67+1)</f>
        <v>2066</v>
      </c>
      <c r="D68" s="509">
        <f>IF(F67+SUM(E$17:E67)=D$10,F67,D$10-SUM(E$17:E67))</f>
        <v>0</v>
      </c>
      <c r="E68" s="510">
        <f t="shared" si="4"/>
        <v>0</v>
      </c>
      <c r="F68" s="511">
        <f t="shared" si="5"/>
        <v>0</v>
      </c>
      <c r="G68" s="512">
        <f t="shared" si="6"/>
        <v>0</v>
      </c>
      <c r="H68" s="478">
        <f t="shared" si="7"/>
        <v>0</v>
      </c>
      <c r="I68" s="501">
        <f t="shared" si="3"/>
        <v>0</v>
      </c>
      <c r="J68" s="501"/>
      <c r="K68" s="513"/>
      <c r="L68" s="505">
        <f t="shared" si="8"/>
        <v>0</v>
      </c>
      <c r="M68" s="513"/>
      <c r="N68" s="505">
        <f t="shared" si="1"/>
        <v>0</v>
      </c>
      <c r="O68" s="505">
        <f t="shared" si="2"/>
        <v>0</v>
      </c>
      <c r="P68" s="279"/>
      <c r="R68" s="244"/>
      <c r="S68" s="244"/>
      <c r="T68" s="244"/>
      <c r="U68" s="244"/>
    </row>
    <row r="69" spans="2:21" ht="12.5">
      <c r="B69" s="145" t="str">
        <f t="shared" si="0"/>
        <v/>
      </c>
      <c r="C69" s="496">
        <f>IF(D11="","-",+C68+1)</f>
        <v>2067</v>
      </c>
      <c r="D69" s="509">
        <f>IF(F68+SUM(E$17:E68)=D$10,F68,D$10-SUM(E$17:E68))</f>
        <v>0</v>
      </c>
      <c r="E69" s="510">
        <f t="shared" si="4"/>
        <v>0</v>
      </c>
      <c r="F69" s="511">
        <f t="shared" si="5"/>
        <v>0</v>
      </c>
      <c r="G69" s="512">
        <f t="shared" si="6"/>
        <v>0</v>
      </c>
      <c r="H69" s="478">
        <f t="shared" si="7"/>
        <v>0</v>
      </c>
      <c r="I69" s="501">
        <f t="shared" si="3"/>
        <v>0</v>
      </c>
      <c r="J69" s="501"/>
      <c r="K69" s="513"/>
      <c r="L69" s="505">
        <f t="shared" si="8"/>
        <v>0</v>
      </c>
      <c r="M69" s="513"/>
      <c r="N69" s="505">
        <f t="shared" si="1"/>
        <v>0</v>
      </c>
      <c r="O69" s="505">
        <f t="shared" si="2"/>
        <v>0</v>
      </c>
      <c r="P69" s="279"/>
      <c r="R69" s="244"/>
      <c r="S69" s="244"/>
      <c r="T69" s="244"/>
      <c r="U69" s="244"/>
    </row>
    <row r="70" spans="2:21" ht="12.5">
      <c r="B70" s="145" t="str">
        <f t="shared" si="0"/>
        <v/>
      </c>
      <c r="C70" s="496">
        <f>IF(D11="","-",+C69+1)</f>
        <v>2068</v>
      </c>
      <c r="D70" s="509">
        <f>IF(F69+SUM(E$17:E69)=D$10,F69,D$10-SUM(E$17:E69))</f>
        <v>0</v>
      </c>
      <c r="E70" s="510">
        <f t="shared" si="4"/>
        <v>0</v>
      </c>
      <c r="F70" s="511">
        <f t="shared" si="5"/>
        <v>0</v>
      </c>
      <c r="G70" s="512">
        <f t="shared" si="6"/>
        <v>0</v>
      </c>
      <c r="H70" s="478">
        <f t="shared" si="7"/>
        <v>0</v>
      </c>
      <c r="I70" s="501">
        <f t="shared" si="3"/>
        <v>0</v>
      </c>
      <c r="J70" s="501"/>
      <c r="K70" s="513"/>
      <c r="L70" s="505">
        <f t="shared" si="8"/>
        <v>0</v>
      </c>
      <c r="M70" s="513"/>
      <c r="N70" s="505">
        <f t="shared" si="1"/>
        <v>0</v>
      </c>
      <c r="O70" s="505">
        <f t="shared" si="2"/>
        <v>0</v>
      </c>
      <c r="P70" s="279"/>
      <c r="R70" s="244"/>
      <c r="S70" s="244"/>
      <c r="T70" s="244"/>
      <c r="U70" s="244"/>
    </row>
    <row r="71" spans="2:21" ht="12.5">
      <c r="B71" s="145" t="str">
        <f t="shared" si="0"/>
        <v/>
      </c>
      <c r="C71" s="496">
        <f>IF(D11="","-",+C70+1)</f>
        <v>2069</v>
      </c>
      <c r="D71" s="509">
        <f>IF(F70+SUM(E$17:E70)=D$10,F70,D$10-SUM(E$17:E70))</f>
        <v>0</v>
      </c>
      <c r="E71" s="510">
        <f t="shared" si="4"/>
        <v>0</v>
      </c>
      <c r="F71" s="511">
        <f t="shared" si="5"/>
        <v>0</v>
      </c>
      <c r="G71" s="512">
        <f t="shared" si="6"/>
        <v>0</v>
      </c>
      <c r="H71" s="478">
        <f t="shared" si="7"/>
        <v>0</v>
      </c>
      <c r="I71" s="501">
        <f t="shared" si="3"/>
        <v>0</v>
      </c>
      <c r="J71" s="501"/>
      <c r="K71" s="513"/>
      <c r="L71" s="505">
        <f t="shared" si="8"/>
        <v>0</v>
      </c>
      <c r="M71" s="513"/>
      <c r="N71" s="505">
        <f t="shared" si="1"/>
        <v>0</v>
      </c>
      <c r="O71" s="505">
        <f t="shared" si="2"/>
        <v>0</v>
      </c>
      <c r="P71" s="279"/>
      <c r="R71" s="244"/>
      <c r="S71" s="244"/>
      <c r="T71" s="244"/>
      <c r="U71" s="244"/>
    </row>
    <row r="72" spans="2:21" ht="12.5">
      <c r="B72" s="145" t="str">
        <f t="shared" si="0"/>
        <v/>
      </c>
      <c r="C72" s="496">
        <f>IF(D11="","-",+C71+1)</f>
        <v>2070</v>
      </c>
      <c r="D72" s="509">
        <f>IF(F71+SUM(E$17:E71)=D$10,F71,D$10-SUM(E$17:E71))</f>
        <v>0</v>
      </c>
      <c r="E72" s="510">
        <f t="shared" si="4"/>
        <v>0</v>
      </c>
      <c r="F72" s="511">
        <f t="shared" si="5"/>
        <v>0</v>
      </c>
      <c r="G72" s="512">
        <f t="shared" si="6"/>
        <v>0</v>
      </c>
      <c r="H72" s="478">
        <f t="shared" si="7"/>
        <v>0</v>
      </c>
      <c r="I72" s="501">
        <f t="shared" si="3"/>
        <v>0</v>
      </c>
      <c r="J72" s="501"/>
      <c r="K72" s="513"/>
      <c r="L72" s="505">
        <f t="shared" si="8"/>
        <v>0</v>
      </c>
      <c r="M72" s="513"/>
      <c r="N72" s="505">
        <f t="shared" si="1"/>
        <v>0</v>
      </c>
      <c r="O72" s="505">
        <f t="shared" si="2"/>
        <v>0</v>
      </c>
      <c r="P72" s="279"/>
      <c r="R72" s="244"/>
      <c r="S72" s="244"/>
      <c r="T72" s="244"/>
      <c r="U72" s="244"/>
    </row>
    <row r="73" spans="2:21" ht="13" thickBot="1">
      <c r="B73" s="145" t="str">
        <f t="shared" si="0"/>
        <v/>
      </c>
      <c r="C73" s="525">
        <f>IF(D11="","-",+C72+1)</f>
        <v>2071</v>
      </c>
      <c r="D73" s="509">
        <f>IF(F72+SUM(E$17:E72)=D$10,F72,D$10-SUM(E$17:E72))</f>
        <v>0</v>
      </c>
      <c r="E73" s="510">
        <f t="shared" si="4"/>
        <v>0</v>
      </c>
      <c r="F73" s="511">
        <f t="shared" si="5"/>
        <v>0</v>
      </c>
      <c r="G73" s="512">
        <f t="shared" si="6"/>
        <v>0</v>
      </c>
      <c r="H73" s="478">
        <f t="shared" si="7"/>
        <v>0</v>
      </c>
      <c r="I73" s="501">
        <f t="shared" si="3"/>
        <v>0</v>
      </c>
      <c r="J73" s="501"/>
      <c r="K73" s="531"/>
      <c r="L73" s="532">
        <f t="shared" si="8"/>
        <v>0</v>
      </c>
      <c r="M73" s="531"/>
      <c r="N73" s="532">
        <f t="shared" si="1"/>
        <v>0</v>
      </c>
      <c r="O73" s="532">
        <f t="shared" si="2"/>
        <v>0</v>
      </c>
      <c r="P73" s="279"/>
      <c r="R73" s="244"/>
      <c r="S73" s="244"/>
      <c r="T73" s="244"/>
      <c r="U73" s="244"/>
    </row>
    <row r="74" spans="2:21" ht="12.5">
      <c r="C74" s="350" t="s">
        <v>75</v>
      </c>
      <c r="D74" s="295"/>
      <c r="E74" s="295">
        <f>SUM(E17:E73)</f>
        <v>8535104.0000000019</v>
      </c>
      <c r="F74" s="295"/>
      <c r="G74" s="295">
        <f>SUM(G17:G73)</f>
        <v>28984332.112299293</v>
      </c>
      <c r="H74" s="295">
        <f>SUM(H17:H73)</f>
        <v>28984332.112299293</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439" t="str">
        <f ca="1">P1</f>
        <v>OKT Project 9 of 19</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2019</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1061867.1098044377</v>
      </c>
      <c r="N88" s="545">
        <f>IF(J93&lt;D11,0,VLOOKUP(J93,C17:O73,11))</f>
        <v>1061867.1098044377</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1088746.3136653239</v>
      </c>
      <c r="N89" s="549">
        <f>IF(J93&lt;D11,0,VLOOKUP(J93,C100:P155,7))</f>
        <v>1088746.3136653239</v>
      </c>
      <c r="O89" s="550">
        <f>+N89-M89</f>
        <v>0</v>
      </c>
      <c r="P89" s="244"/>
      <c r="Q89" s="244"/>
      <c r="R89" s="244"/>
      <c r="S89" s="244"/>
      <c r="T89" s="244"/>
      <c r="U89" s="244"/>
    </row>
    <row r="90" spans="1:21" ht="13.5" thickBot="1">
      <c r="C90" s="455" t="s">
        <v>82</v>
      </c>
      <c r="D90" s="551" t="str">
        <f>+D7</f>
        <v>Prattville-Bluebell 138 kV</v>
      </c>
      <c r="E90" s="244"/>
      <c r="F90" s="244"/>
      <c r="G90" s="244"/>
      <c r="H90" s="244"/>
      <c r="I90" s="326"/>
      <c r="J90" s="326"/>
      <c r="K90" s="552"/>
      <c r="L90" s="553" t="s">
        <v>135</v>
      </c>
      <c r="M90" s="554">
        <f>+M89-M88</f>
        <v>26879.203860886162</v>
      </c>
      <c r="N90" s="554">
        <f>+N89-N88</f>
        <v>26879.203860886162</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622" t="str">
        <f>+D9</f>
        <v>TP2010094</v>
      </c>
      <c r="E92" s="559"/>
      <c r="F92" s="559"/>
      <c r="G92" s="559"/>
      <c r="H92" s="559"/>
      <c r="I92" s="559"/>
      <c r="J92" s="559"/>
      <c r="K92" s="561"/>
      <c r="P92" s="469"/>
      <c r="Q92" s="244"/>
      <c r="R92" s="244"/>
      <c r="S92" s="244"/>
      <c r="T92" s="244"/>
      <c r="U92" s="244"/>
    </row>
    <row r="93" spans="1:21" ht="13">
      <c r="C93" s="473" t="s">
        <v>49</v>
      </c>
      <c r="D93" s="623">
        <f>+D10</f>
        <v>8535104</v>
      </c>
      <c r="E93" s="249" t="s">
        <v>84</v>
      </c>
      <c r="H93" s="409"/>
      <c r="I93" s="409"/>
      <c r="J93" s="472">
        <f>+'OKT.WS.G.BPU.ATRR.True-up'!M16</f>
        <v>2019</v>
      </c>
      <c r="K93" s="468"/>
      <c r="L93" s="295" t="s">
        <v>85</v>
      </c>
      <c r="P93" s="279"/>
      <c r="Q93" s="244"/>
      <c r="R93" s="244"/>
      <c r="S93" s="244"/>
      <c r="T93" s="244"/>
      <c r="U93" s="244"/>
    </row>
    <row r="94" spans="1:21" ht="12.5">
      <c r="C94" s="473" t="s">
        <v>52</v>
      </c>
      <c r="D94" s="562">
        <f>IF(D11=I10,"",D11)</f>
        <v>2015</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83">
        <f>IF(D11=I10,"",D12)</f>
        <v>6</v>
      </c>
      <c r="E95" s="473" t="s">
        <v>55</v>
      </c>
      <c r="F95" s="409"/>
      <c r="G95" s="409"/>
      <c r="J95" s="477">
        <f>'OKT.WS.G.BPU.ATRR.True-up'!$F$81</f>
        <v>0.10800922592579221</v>
      </c>
      <c r="K95" s="414"/>
      <c r="L95" s="145" t="s">
        <v>86</v>
      </c>
      <c r="P95" s="279"/>
      <c r="Q95" s="244"/>
      <c r="R95" s="244"/>
      <c r="S95" s="244"/>
      <c r="T95" s="244"/>
      <c r="U95" s="244"/>
    </row>
    <row r="96" spans="1:21" ht="12.5">
      <c r="C96" s="473" t="s">
        <v>57</v>
      </c>
      <c r="D96" s="475">
        <f>'OKT.WS.G.BPU.ATRR.True-up'!F$93</f>
        <v>33</v>
      </c>
      <c r="E96" s="473" t="s">
        <v>58</v>
      </c>
      <c r="F96" s="409"/>
      <c r="G96" s="409"/>
      <c r="J96" s="477">
        <f>IF(H88="",J95,'OKT.WS.G.BPU.ATRR.True-up'!$F$80)</f>
        <v>0.10800922592579221</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258639.51515151514</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B100" s="145" t="str">
        <f t="shared" ref="B100:B155" si="11">IF(D100=F99,"","IU")</f>
        <v>IU</v>
      </c>
      <c r="C100" s="496">
        <f>IF(D94= "","-",D94)</f>
        <v>2015</v>
      </c>
      <c r="D100" s="613">
        <v>0</v>
      </c>
      <c r="E100" s="614">
        <v>102447.91666666666</v>
      </c>
      <c r="F100" s="615">
        <v>8327552.083333333</v>
      </c>
      <c r="G100" s="616">
        <v>4163776.0416666665</v>
      </c>
      <c r="H100" s="616">
        <v>565998.7241739725</v>
      </c>
      <c r="I100" s="616">
        <v>565998.7241739725</v>
      </c>
      <c r="J100" s="505">
        <v>0</v>
      </c>
      <c r="K100" s="505"/>
      <c r="L100" s="507">
        <f>H100</f>
        <v>565998.7241739725</v>
      </c>
      <c r="M100" s="505">
        <f>IF(L100&lt;&gt;0,+H100-L100,0)</f>
        <v>0</v>
      </c>
      <c r="N100" s="507">
        <f>I100</f>
        <v>565998.7241739725</v>
      </c>
      <c r="O100" s="504">
        <f t="shared" ref="O100:O131" si="12">IF(N100&lt;&gt;0,+I100-N100,0)</f>
        <v>0</v>
      </c>
      <c r="P100" s="504">
        <f t="shared" ref="P100:P131" si="13">+O100-M100</f>
        <v>0</v>
      </c>
      <c r="Q100" s="244"/>
      <c r="R100" s="244"/>
      <c r="S100" s="244"/>
      <c r="T100" s="244"/>
      <c r="U100" s="244"/>
    </row>
    <row r="101" spans="1:21" ht="12.5">
      <c r="B101" s="145" t="str">
        <f t="shared" si="11"/>
        <v>IU</v>
      </c>
      <c r="C101" s="496">
        <f>IF(D94="","-",+C100+1)</f>
        <v>2016</v>
      </c>
      <c r="D101" s="506">
        <v>8432656.083333334</v>
      </c>
      <c r="E101" s="499">
        <v>167354.98039215687</v>
      </c>
      <c r="F101" s="506">
        <v>8265301.1029411769</v>
      </c>
      <c r="G101" s="499">
        <v>8348978.5931372549</v>
      </c>
      <c r="H101" s="500">
        <v>1072129.2771965233</v>
      </c>
      <c r="I101" s="500">
        <v>1072129.2771965233</v>
      </c>
      <c r="J101" s="505">
        <f t="shared" ref="J101:J131" si="14">+I101-H101</f>
        <v>0</v>
      </c>
      <c r="K101" s="505"/>
      <c r="L101" s="507">
        <f>H101</f>
        <v>1072129.2771965233</v>
      </c>
      <c r="M101" s="505">
        <f>IF(L101&lt;&gt;0,+H101-L101,0)</f>
        <v>0</v>
      </c>
      <c r="N101" s="590">
        <f>I101</f>
        <v>1072129.2771965233</v>
      </c>
      <c r="O101" s="590">
        <f>IF(N101&lt;&gt;0,+I101-N101,0)</f>
        <v>0</v>
      </c>
      <c r="P101" s="505">
        <f>+O101-M101</f>
        <v>0</v>
      </c>
      <c r="Q101" s="244"/>
      <c r="R101" s="244"/>
      <c r="S101" s="244"/>
      <c r="T101" s="244"/>
      <c r="U101" s="244"/>
    </row>
    <row r="102" spans="1:21" ht="12.5">
      <c r="B102" s="145" t="str">
        <f t="shared" si="11"/>
        <v/>
      </c>
      <c r="C102" s="496">
        <f>IF(D94="","-",+C101+1)</f>
        <v>2017</v>
      </c>
      <c r="D102" s="506">
        <v>8265301.1029411769</v>
      </c>
      <c r="E102" s="499">
        <v>213377.6</v>
      </c>
      <c r="F102" s="506">
        <v>8051923.5029411772</v>
      </c>
      <c r="G102" s="499">
        <v>8158612.302941177</v>
      </c>
      <c r="H102" s="500">
        <v>1170675.4253324734</v>
      </c>
      <c r="I102" s="500">
        <v>1170675.4253324734</v>
      </c>
      <c r="J102" s="505">
        <f t="shared" si="14"/>
        <v>0</v>
      </c>
      <c r="K102" s="505"/>
      <c r="L102" s="507">
        <f>H102</f>
        <v>1170675.4253324734</v>
      </c>
      <c r="M102" s="505">
        <f>IF(L102&lt;&gt;0,+H102-L102,0)</f>
        <v>0</v>
      </c>
      <c r="N102" s="590">
        <f>I102</f>
        <v>1170675.4253324734</v>
      </c>
      <c r="O102" s="590">
        <f>IF(N102&lt;&gt;0,+I102-N102,0)</f>
        <v>0</v>
      </c>
      <c r="P102" s="505">
        <f>+O102-M102</f>
        <v>0</v>
      </c>
      <c r="Q102" s="244"/>
      <c r="R102" s="244"/>
      <c r="S102" s="244"/>
      <c r="T102" s="244"/>
      <c r="U102" s="244"/>
    </row>
    <row r="103" spans="1:21" ht="12.5">
      <c r="B103" s="145" t="str">
        <f t="shared" si="11"/>
        <v/>
      </c>
      <c r="C103" s="496">
        <f>IF(D94="","-",+C102+1)</f>
        <v>2018</v>
      </c>
      <c r="D103" s="506">
        <v>8051923.5029411772</v>
      </c>
      <c r="E103" s="499">
        <v>237086.22222222222</v>
      </c>
      <c r="F103" s="506">
        <v>7814837.2807189552</v>
      </c>
      <c r="G103" s="499">
        <v>7933380.3918300662</v>
      </c>
      <c r="H103" s="500">
        <v>1074553.2860184449</v>
      </c>
      <c r="I103" s="500">
        <v>1074553.2860184449</v>
      </c>
      <c r="J103" s="505">
        <f t="shared" si="14"/>
        <v>0</v>
      </c>
      <c r="K103" s="505"/>
      <c r="L103" s="507">
        <f>H103</f>
        <v>1074553.2860184449</v>
      </c>
      <c r="M103" s="505">
        <f>IF(L103&lt;&gt;0,+H103-L103,0)</f>
        <v>0</v>
      </c>
      <c r="N103" s="590">
        <f>I103</f>
        <v>1074553.2860184449</v>
      </c>
      <c r="O103" s="590">
        <f>IF(N103&lt;&gt;0,+I103-N103,0)</f>
        <v>0</v>
      </c>
      <c r="P103" s="505">
        <f>+O103-M103</f>
        <v>0</v>
      </c>
      <c r="Q103" s="244"/>
      <c r="R103" s="244"/>
      <c r="S103" s="244"/>
      <c r="T103" s="244"/>
      <c r="U103" s="244"/>
    </row>
    <row r="104" spans="1:21" ht="12.5">
      <c r="B104" s="145" t="str">
        <f t="shared" si="11"/>
        <v/>
      </c>
      <c r="C104" s="496">
        <f>IF(D94="","-",+C103+1)</f>
        <v>2019</v>
      </c>
      <c r="D104" s="350">
        <f>IF(F103+SUM(E$100:E103)=D$93,F103,D$93-SUM(E$100:E103))</f>
        <v>7814837.2807189552</v>
      </c>
      <c r="E104" s="510">
        <f>IF(+J97&lt;F103,J97,D104)</f>
        <v>258639.51515151514</v>
      </c>
      <c r="F104" s="511">
        <f t="shared" ref="F104:F155" si="15">+D104-E104</f>
        <v>7556197.7655674405</v>
      </c>
      <c r="G104" s="511">
        <f t="shared" ref="G104:G155" si="16">+(F104+D104)/2</f>
        <v>7685517.5231431983</v>
      </c>
      <c r="H104" s="524">
        <f t="shared" ref="H104:H155" si="17">+J$95*G104+E104</f>
        <v>1088746.3136653239</v>
      </c>
      <c r="I104" s="573">
        <f t="shared" ref="I104:I155" si="18">+J$96*G104+E104</f>
        <v>1088746.3136653239</v>
      </c>
      <c r="J104" s="505">
        <f t="shared" si="14"/>
        <v>0</v>
      </c>
      <c r="K104" s="505"/>
      <c r="L104" s="513"/>
      <c r="M104" s="505">
        <f t="shared" ref="M104:M131" si="19">IF(L104&lt;&gt;0,+H104-L104,0)</f>
        <v>0</v>
      </c>
      <c r="N104" s="513"/>
      <c r="O104" s="505">
        <f t="shared" si="12"/>
        <v>0</v>
      </c>
      <c r="P104" s="505">
        <f t="shared" si="13"/>
        <v>0</v>
      </c>
      <c r="Q104" s="244"/>
      <c r="R104" s="244"/>
      <c r="S104" s="244"/>
      <c r="T104" s="244"/>
      <c r="U104" s="244"/>
    </row>
    <row r="105" spans="1:21" ht="12.5">
      <c r="B105" s="145" t="str">
        <f t="shared" si="11"/>
        <v/>
      </c>
      <c r="C105" s="496">
        <f>IF(D94="","-",+C104+1)</f>
        <v>2020</v>
      </c>
      <c r="D105" s="350">
        <f>IF(F104+SUM(E$100:E104)=D$93,F104,D$93-SUM(E$100:E104))</f>
        <v>7556197.7655674405</v>
      </c>
      <c r="E105" s="510">
        <f>IF(+J97&lt;F104,J97,D105)</f>
        <v>258639.51515151514</v>
      </c>
      <c r="F105" s="511">
        <f t="shared" si="15"/>
        <v>7297558.2504159249</v>
      </c>
      <c r="G105" s="511">
        <f t="shared" si="16"/>
        <v>7426878.0079916827</v>
      </c>
      <c r="H105" s="524">
        <f t="shared" si="17"/>
        <v>1060810.8598399865</v>
      </c>
      <c r="I105" s="573">
        <f t="shared" si="18"/>
        <v>1060810.8598399865</v>
      </c>
      <c r="J105" s="505">
        <f t="shared" si="14"/>
        <v>0</v>
      </c>
      <c r="K105" s="505"/>
      <c r="L105" s="513"/>
      <c r="M105" s="505">
        <f t="shared" si="19"/>
        <v>0</v>
      </c>
      <c r="N105" s="513"/>
      <c r="O105" s="505">
        <f t="shared" si="12"/>
        <v>0</v>
      </c>
      <c r="P105" s="505">
        <f t="shared" si="13"/>
        <v>0</v>
      </c>
      <c r="Q105" s="244"/>
      <c r="R105" s="244"/>
      <c r="S105" s="244"/>
      <c r="T105" s="244"/>
      <c r="U105" s="244"/>
    </row>
    <row r="106" spans="1:21" ht="12.5">
      <c r="B106" s="145" t="str">
        <f t="shared" si="11"/>
        <v/>
      </c>
      <c r="C106" s="496">
        <f>IF(D94="","-",+C105+1)</f>
        <v>2021</v>
      </c>
      <c r="D106" s="350">
        <f>IF(F105+SUM(E$100:E105)=D$93,F105,D$93-SUM(E$100:E105))</f>
        <v>7297558.2504159249</v>
      </c>
      <c r="E106" s="510">
        <f>IF(+J97&lt;F105,J97,D106)</f>
        <v>258639.51515151514</v>
      </c>
      <c r="F106" s="511">
        <f t="shared" si="15"/>
        <v>7038918.7352644093</v>
      </c>
      <c r="G106" s="511">
        <f t="shared" si="16"/>
        <v>7168238.4928401671</v>
      </c>
      <c r="H106" s="524">
        <f t="shared" si="17"/>
        <v>1032875.406014649</v>
      </c>
      <c r="I106" s="573">
        <f t="shared" si="18"/>
        <v>1032875.406014649</v>
      </c>
      <c r="J106" s="505">
        <f t="shared" si="14"/>
        <v>0</v>
      </c>
      <c r="K106" s="505"/>
      <c r="L106" s="513"/>
      <c r="M106" s="505">
        <f t="shared" si="19"/>
        <v>0</v>
      </c>
      <c r="N106" s="513"/>
      <c r="O106" s="505">
        <f t="shared" si="12"/>
        <v>0</v>
      </c>
      <c r="P106" s="505">
        <f t="shared" si="13"/>
        <v>0</v>
      </c>
      <c r="Q106" s="244"/>
      <c r="R106" s="244"/>
      <c r="S106" s="244"/>
      <c r="T106" s="244"/>
      <c r="U106" s="244"/>
    </row>
    <row r="107" spans="1:21" ht="12.5">
      <c r="B107" s="145" t="str">
        <f t="shared" si="11"/>
        <v/>
      </c>
      <c r="C107" s="496">
        <f>IF(D94="","-",+C106+1)</f>
        <v>2022</v>
      </c>
      <c r="D107" s="350">
        <f>IF(F106+SUM(E$100:E106)=D$93,F106,D$93-SUM(E$100:E106))</f>
        <v>7038918.7352644093</v>
      </c>
      <c r="E107" s="510">
        <f>IF(+J97&lt;F106,J97,D107)</f>
        <v>258639.51515151514</v>
      </c>
      <c r="F107" s="511">
        <f t="shared" si="15"/>
        <v>6780279.2201128937</v>
      </c>
      <c r="G107" s="511">
        <f t="shared" si="16"/>
        <v>6909598.9776886515</v>
      </c>
      <c r="H107" s="524">
        <f t="shared" si="17"/>
        <v>1004939.9521893116</v>
      </c>
      <c r="I107" s="573">
        <f t="shared" si="18"/>
        <v>1004939.9521893116</v>
      </c>
      <c r="J107" s="505">
        <f t="shared" si="14"/>
        <v>0</v>
      </c>
      <c r="K107" s="505"/>
      <c r="L107" s="513"/>
      <c r="M107" s="505">
        <f t="shared" si="19"/>
        <v>0</v>
      </c>
      <c r="N107" s="513"/>
      <c r="O107" s="505">
        <f t="shared" si="12"/>
        <v>0</v>
      </c>
      <c r="P107" s="505">
        <f t="shared" si="13"/>
        <v>0</v>
      </c>
      <c r="Q107" s="244"/>
      <c r="R107" s="244"/>
      <c r="S107" s="244"/>
      <c r="T107" s="244"/>
      <c r="U107" s="244"/>
    </row>
    <row r="108" spans="1:21" ht="12.5">
      <c r="B108" s="145" t="str">
        <f t="shared" si="11"/>
        <v/>
      </c>
      <c r="C108" s="496">
        <f>IF(D94="","-",+C107+1)</f>
        <v>2023</v>
      </c>
      <c r="D108" s="350">
        <f>IF(F107+SUM(E$100:E107)=D$93,F107,D$93-SUM(E$100:E107))</f>
        <v>6780279.2201128937</v>
      </c>
      <c r="E108" s="510">
        <f>IF(+J97&lt;F107,J97,D108)</f>
        <v>258639.51515151514</v>
      </c>
      <c r="F108" s="511">
        <f t="shared" si="15"/>
        <v>6521639.7049613781</v>
      </c>
      <c r="G108" s="511">
        <f t="shared" si="16"/>
        <v>6650959.4625371359</v>
      </c>
      <c r="H108" s="524">
        <f t="shared" si="17"/>
        <v>977004.49836397415</v>
      </c>
      <c r="I108" s="573">
        <f t="shared" si="18"/>
        <v>977004.49836397415</v>
      </c>
      <c r="J108" s="505">
        <f t="shared" si="14"/>
        <v>0</v>
      </c>
      <c r="K108" s="505"/>
      <c r="L108" s="513"/>
      <c r="M108" s="505">
        <f t="shared" si="19"/>
        <v>0</v>
      </c>
      <c r="N108" s="513"/>
      <c r="O108" s="505">
        <f t="shared" si="12"/>
        <v>0</v>
      </c>
      <c r="P108" s="505">
        <f t="shared" si="13"/>
        <v>0</v>
      </c>
      <c r="Q108" s="244"/>
      <c r="R108" s="244"/>
      <c r="S108" s="244"/>
      <c r="T108" s="244"/>
      <c r="U108" s="244"/>
    </row>
    <row r="109" spans="1:21" ht="12.5">
      <c r="B109" s="145" t="str">
        <f t="shared" si="11"/>
        <v/>
      </c>
      <c r="C109" s="496">
        <f>IF(D94="","-",+C108+1)</f>
        <v>2024</v>
      </c>
      <c r="D109" s="350">
        <f>IF(F108+SUM(E$100:E108)=D$93,F108,D$93-SUM(E$100:E108))</f>
        <v>6521639.7049613781</v>
      </c>
      <c r="E109" s="510">
        <f>IF(+J97&lt;F108,J97,D109)</f>
        <v>258639.51515151514</v>
      </c>
      <c r="F109" s="511">
        <f t="shared" si="15"/>
        <v>6263000.1898098625</v>
      </c>
      <c r="G109" s="511">
        <f t="shared" si="16"/>
        <v>6392319.9473856203</v>
      </c>
      <c r="H109" s="524">
        <f t="shared" si="17"/>
        <v>949069.04453863681</v>
      </c>
      <c r="I109" s="573">
        <f t="shared" si="18"/>
        <v>949069.04453863681</v>
      </c>
      <c r="J109" s="505">
        <f t="shared" si="14"/>
        <v>0</v>
      </c>
      <c r="K109" s="505"/>
      <c r="L109" s="513"/>
      <c r="M109" s="505">
        <f t="shared" si="19"/>
        <v>0</v>
      </c>
      <c r="N109" s="513"/>
      <c r="O109" s="505">
        <f t="shared" si="12"/>
        <v>0</v>
      </c>
      <c r="P109" s="505">
        <f t="shared" si="13"/>
        <v>0</v>
      </c>
      <c r="Q109" s="244"/>
      <c r="R109" s="244"/>
      <c r="S109" s="244"/>
      <c r="T109" s="244"/>
      <c r="U109" s="244"/>
    </row>
    <row r="110" spans="1:21" ht="12.5">
      <c r="B110" s="145" t="str">
        <f t="shared" si="11"/>
        <v/>
      </c>
      <c r="C110" s="496">
        <f>IF(D94="","-",+C109+1)</f>
        <v>2025</v>
      </c>
      <c r="D110" s="350">
        <f>IF(F109+SUM(E$100:E109)=D$93,F109,D$93-SUM(E$100:E109))</f>
        <v>6263000.1898098625</v>
      </c>
      <c r="E110" s="510">
        <f>IF(+J97&lt;F109,J97,D110)</f>
        <v>258639.51515151514</v>
      </c>
      <c r="F110" s="511">
        <f t="shared" si="15"/>
        <v>6004360.6746583469</v>
      </c>
      <c r="G110" s="511">
        <f t="shared" si="16"/>
        <v>6133680.4322341047</v>
      </c>
      <c r="H110" s="524">
        <f t="shared" si="17"/>
        <v>921133.59071329935</v>
      </c>
      <c r="I110" s="573">
        <f t="shared" si="18"/>
        <v>921133.59071329935</v>
      </c>
      <c r="J110" s="505">
        <f t="shared" si="14"/>
        <v>0</v>
      </c>
      <c r="K110" s="505"/>
      <c r="L110" s="513"/>
      <c r="M110" s="505">
        <f t="shared" si="19"/>
        <v>0</v>
      </c>
      <c r="N110" s="513"/>
      <c r="O110" s="505">
        <f t="shared" si="12"/>
        <v>0</v>
      </c>
      <c r="P110" s="505">
        <f t="shared" si="13"/>
        <v>0</v>
      </c>
      <c r="Q110" s="244"/>
      <c r="R110" s="244"/>
      <c r="S110" s="244"/>
      <c r="T110" s="244"/>
      <c r="U110" s="244"/>
    </row>
    <row r="111" spans="1:21" ht="12.5">
      <c r="B111" s="145" t="str">
        <f t="shared" si="11"/>
        <v/>
      </c>
      <c r="C111" s="496">
        <f>IF(D94="","-",+C110+1)</f>
        <v>2026</v>
      </c>
      <c r="D111" s="350">
        <f>IF(F110+SUM(E$100:E110)=D$93,F110,D$93-SUM(E$100:E110))</f>
        <v>6004360.6746583469</v>
      </c>
      <c r="E111" s="510">
        <f>IF(+J97&lt;F110,J97,D111)</f>
        <v>258639.51515151514</v>
      </c>
      <c r="F111" s="511">
        <f t="shared" si="15"/>
        <v>5745721.1595068313</v>
      </c>
      <c r="G111" s="511">
        <f t="shared" si="16"/>
        <v>5875040.9170825891</v>
      </c>
      <c r="H111" s="524">
        <f t="shared" si="17"/>
        <v>893198.136887962</v>
      </c>
      <c r="I111" s="573">
        <f t="shared" si="18"/>
        <v>893198.136887962</v>
      </c>
      <c r="J111" s="505">
        <f t="shared" si="14"/>
        <v>0</v>
      </c>
      <c r="K111" s="505"/>
      <c r="L111" s="513"/>
      <c r="M111" s="505">
        <f t="shared" si="19"/>
        <v>0</v>
      </c>
      <c r="N111" s="513"/>
      <c r="O111" s="505">
        <f t="shared" si="12"/>
        <v>0</v>
      </c>
      <c r="P111" s="505">
        <f t="shared" si="13"/>
        <v>0</v>
      </c>
      <c r="Q111" s="244"/>
      <c r="R111" s="244"/>
      <c r="S111" s="244"/>
      <c r="T111" s="244"/>
      <c r="U111" s="244"/>
    </row>
    <row r="112" spans="1:21" ht="12.5">
      <c r="B112" s="145" t="str">
        <f t="shared" si="11"/>
        <v/>
      </c>
      <c r="C112" s="496">
        <f>IF(D94="","-",+C111+1)</f>
        <v>2027</v>
      </c>
      <c r="D112" s="350">
        <f>IF(F111+SUM(E$100:E111)=D$93,F111,D$93-SUM(E$100:E111))</f>
        <v>5745721.1595068313</v>
      </c>
      <c r="E112" s="510">
        <f>IF(+J97&lt;F111,J97,D112)</f>
        <v>258639.51515151514</v>
      </c>
      <c r="F112" s="511">
        <f t="shared" si="15"/>
        <v>5487081.6443553157</v>
      </c>
      <c r="G112" s="511">
        <f t="shared" si="16"/>
        <v>5616401.4019310735</v>
      </c>
      <c r="H112" s="524">
        <f t="shared" si="17"/>
        <v>865262.68306262454</v>
      </c>
      <c r="I112" s="573">
        <f t="shared" si="18"/>
        <v>865262.68306262454</v>
      </c>
      <c r="J112" s="505">
        <f t="shared" si="14"/>
        <v>0</v>
      </c>
      <c r="K112" s="505"/>
      <c r="L112" s="513"/>
      <c r="M112" s="505">
        <f t="shared" si="19"/>
        <v>0</v>
      </c>
      <c r="N112" s="513"/>
      <c r="O112" s="505">
        <f t="shared" si="12"/>
        <v>0</v>
      </c>
      <c r="P112" s="505">
        <f t="shared" si="13"/>
        <v>0</v>
      </c>
      <c r="Q112" s="244"/>
      <c r="R112" s="244"/>
      <c r="S112" s="244"/>
      <c r="T112" s="244"/>
      <c r="U112" s="244"/>
    </row>
    <row r="113" spans="2:21" ht="12.5">
      <c r="B113" s="145" t="str">
        <f t="shared" si="11"/>
        <v/>
      </c>
      <c r="C113" s="496">
        <f>IF(D94="","-",+C112+1)</f>
        <v>2028</v>
      </c>
      <c r="D113" s="350">
        <f>IF(F112+SUM(E$100:E112)=D$93,F112,D$93-SUM(E$100:E112))</f>
        <v>5487081.6443553157</v>
      </c>
      <c r="E113" s="510">
        <f>IF(+J97&lt;F112,J97,D113)</f>
        <v>258639.51515151514</v>
      </c>
      <c r="F113" s="511">
        <f t="shared" si="15"/>
        <v>5228442.1292038001</v>
      </c>
      <c r="G113" s="511">
        <f t="shared" si="16"/>
        <v>5357761.8867795579</v>
      </c>
      <c r="H113" s="524">
        <f t="shared" si="17"/>
        <v>837327.22923728719</v>
      </c>
      <c r="I113" s="573">
        <f t="shared" si="18"/>
        <v>837327.22923728719</v>
      </c>
      <c r="J113" s="505">
        <f t="shared" si="14"/>
        <v>0</v>
      </c>
      <c r="K113" s="505"/>
      <c r="L113" s="513"/>
      <c r="M113" s="505">
        <f t="shared" si="19"/>
        <v>0</v>
      </c>
      <c r="N113" s="513"/>
      <c r="O113" s="505">
        <f t="shared" si="12"/>
        <v>0</v>
      </c>
      <c r="P113" s="505">
        <f t="shared" si="13"/>
        <v>0</v>
      </c>
      <c r="Q113" s="244"/>
      <c r="R113" s="244"/>
      <c r="S113" s="244"/>
      <c r="T113" s="244"/>
      <c r="U113" s="244"/>
    </row>
    <row r="114" spans="2:21" ht="12.5">
      <c r="B114" s="145" t="str">
        <f t="shared" si="11"/>
        <v/>
      </c>
      <c r="C114" s="496">
        <f>IF(D94="","-",+C113+1)</f>
        <v>2029</v>
      </c>
      <c r="D114" s="350">
        <f>IF(F113+SUM(E$100:E113)=D$93,F113,D$93-SUM(E$100:E113))</f>
        <v>5228442.1292038001</v>
      </c>
      <c r="E114" s="510">
        <f>IF(+J97&lt;F113,J97,D114)</f>
        <v>258639.51515151514</v>
      </c>
      <c r="F114" s="511">
        <f t="shared" si="15"/>
        <v>4969802.6140522845</v>
      </c>
      <c r="G114" s="511">
        <f t="shared" si="16"/>
        <v>5099122.3716280423</v>
      </c>
      <c r="H114" s="524">
        <f t="shared" si="17"/>
        <v>809391.77541194973</v>
      </c>
      <c r="I114" s="573">
        <f t="shared" si="18"/>
        <v>809391.77541194973</v>
      </c>
      <c r="J114" s="505">
        <f t="shared" si="14"/>
        <v>0</v>
      </c>
      <c r="K114" s="505"/>
      <c r="L114" s="513"/>
      <c r="M114" s="505">
        <f t="shared" si="19"/>
        <v>0</v>
      </c>
      <c r="N114" s="513"/>
      <c r="O114" s="505">
        <f t="shared" si="12"/>
        <v>0</v>
      </c>
      <c r="P114" s="505">
        <f t="shared" si="13"/>
        <v>0</v>
      </c>
      <c r="Q114" s="244"/>
      <c r="R114" s="244"/>
      <c r="S114" s="244"/>
      <c r="T114" s="244"/>
      <c r="U114" s="244"/>
    </row>
    <row r="115" spans="2:21" ht="12.5">
      <c r="B115" s="145" t="str">
        <f t="shared" si="11"/>
        <v/>
      </c>
      <c r="C115" s="496">
        <f>IF(D94="","-",+C114+1)</f>
        <v>2030</v>
      </c>
      <c r="D115" s="350">
        <f>IF(F114+SUM(E$100:E114)=D$93,F114,D$93-SUM(E$100:E114))</f>
        <v>4969802.6140522845</v>
      </c>
      <c r="E115" s="510">
        <f>IF(+J97&lt;F114,J97,D115)</f>
        <v>258639.51515151514</v>
      </c>
      <c r="F115" s="511">
        <f t="shared" si="15"/>
        <v>4711163.0989007689</v>
      </c>
      <c r="G115" s="511">
        <f t="shared" si="16"/>
        <v>4840482.8564765267</v>
      </c>
      <c r="H115" s="524">
        <f t="shared" si="17"/>
        <v>781456.32158661238</v>
      </c>
      <c r="I115" s="573">
        <f t="shared" si="18"/>
        <v>781456.32158661238</v>
      </c>
      <c r="J115" s="505">
        <f t="shared" si="14"/>
        <v>0</v>
      </c>
      <c r="K115" s="505"/>
      <c r="L115" s="513"/>
      <c r="M115" s="505">
        <f t="shared" si="19"/>
        <v>0</v>
      </c>
      <c r="N115" s="513"/>
      <c r="O115" s="505">
        <f t="shared" si="12"/>
        <v>0</v>
      </c>
      <c r="P115" s="505">
        <f t="shared" si="13"/>
        <v>0</v>
      </c>
      <c r="Q115" s="244"/>
      <c r="R115" s="244"/>
      <c r="S115" s="244"/>
      <c r="T115" s="244"/>
      <c r="U115" s="244"/>
    </row>
    <row r="116" spans="2:21" ht="12.5">
      <c r="B116" s="145" t="str">
        <f t="shared" si="11"/>
        <v/>
      </c>
      <c r="C116" s="496">
        <f>IF(D94="","-",+C115+1)</f>
        <v>2031</v>
      </c>
      <c r="D116" s="350">
        <f>IF(F115+SUM(E$100:E115)=D$93,F115,D$93-SUM(E$100:E115))</f>
        <v>4711163.0989007689</v>
      </c>
      <c r="E116" s="510">
        <f>IF(+J97&lt;F115,J97,D116)</f>
        <v>258639.51515151514</v>
      </c>
      <c r="F116" s="511">
        <f t="shared" si="15"/>
        <v>4452523.5837492533</v>
      </c>
      <c r="G116" s="511">
        <f t="shared" si="16"/>
        <v>4581843.3413250111</v>
      </c>
      <c r="H116" s="524">
        <f t="shared" si="17"/>
        <v>753520.86776127492</v>
      </c>
      <c r="I116" s="573">
        <f t="shared" si="18"/>
        <v>753520.86776127492</v>
      </c>
      <c r="J116" s="505">
        <f t="shared" si="14"/>
        <v>0</v>
      </c>
      <c r="K116" s="505"/>
      <c r="L116" s="513"/>
      <c r="M116" s="505">
        <f t="shared" si="19"/>
        <v>0</v>
      </c>
      <c r="N116" s="513"/>
      <c r="O116" s="505">
        <f t="shared" si="12"/>
        <v>0</v>
      </c>
      <c r="P116" s="505">
        <f t="shared" si="13"/>
        <v>0</v>
      </c>
      <c r="Q116" s="244"/>
      <c r="R116" s="244"/>
      <c r="S116" s="244"/>
      <c r="T116" s="244"/>
      <c r="U116" s="244"/>
    </row>
    <row r="117" spans="2:21" ht="12.5">
      <c r="B117" s="145" t="str">
        <f t="shared" si="11"/>
        <v/>
      </c>
      <c r="C117" s="496">
        <f>IF(D94="","-",+C116+1)</f>
        <v>2032</v>
      </c>
      <c r="D117" s="350">
        <f>IF(F116+SUM(E$100:E116)=D$93,F116,D$93-SUM(E$100:E116))</f>
        <v>4452523.5837492533</v>
      </c>
      <c r="E117" s="510">
        <f>IF(+J97&lt;F116,J97,D117)</f>
        <v>258639.51515151514</v>
      </c>
      <c r="F117" s="511">
        <f t="shared" si="15"/>
        <v>4193884.0685977382</v>
      </c>
      <c r="G117" s="511">
        <f t="shared" si="16"/>
        <v>4323203.8261734955</v>
      </c>
      <c r="H117" s="524">
        <f t="shared" si="17"/>
        <v>725585.41393593745</v>
      </c>
      <c r="I117" s="573">
        <f t="shared" si="18"/>
        <v>725585.41393593745</v>
      </c>
      <c r="J117" s="505">
        <f t="shared" si="14"/>
        <v>0</v>
      </c>
      <c r="K117" s="505"/>
      <c r="L117" s="513"/>
      <c r="M117" s="505">
        <f t="shared" si="19"/>
        <v>0</v>
      </c>
      <c r="N117" s="513"/>
      <c r="O117" s="505">
        <f t="shared" si="12"/>
        <v>0</v>
      </c>
      <c r="P117" s="505">
        <f t="shared" si="13"/>
        <v>0</v>
      </c>
      <c r="Q117" s="244"/>
      <c r="R117" s="244"/>
      <c r="S117" s="244"/>
      <c r="T117" s="244"/>
      <c r="U117" s="244"/>
    </row>
    <row r="118" spans="2:21" ht="12.5">
      <c r="B118" s="145" t="str">
        <f t="shared" si="11"/>
        <v/>
      </c>
      <c r="C118" s="496">
        <f>IF(D94="","-",+C117+1)</f>
        <v>2033</v>
      </c>
      <c r="D118" s="350">
        <f>IF(F117+SUM(E$100:E117)=D$93,F117,D$93-SUM(E$100:E117))</f>
        <v>4193884.0685977382</v>
      </c>
      <c r="E118" s="510">
        <f>IF(+J97&lt;F117,J97,D118)</f>
        <v>258639.51515151514</v>
      </c>
      <c r="F118" s="511">
        <f t="shared" si="15"/>
        <v>3935244.553446223</v>
      </c>
      <c r="G118" s="511">
        <f t="shared" si="16"/>
        <v>4064564.3110219808</v>
      </c>
      <c r="H118" s="524">
        <f t="shared" si="17"/>
        <v>697649.96011060022</v>
      </c>
      <c r="I118" s="573">
        <f t="shared" si="18"/>
        <v>697649.96011060022</v>
      </c>
      <c r="J118" s="505">
        <f t="shared" si="14"/>
        <v>0</v>
      </c>
      <c r="K118" s="505"/>
      <c r="L118" s="513"/>
      <c r="M118" s="505">
        <f t="shared" si="19"/>
        <v>0</v>
      </c>
      <c r="N118" s="513"/>
      <c r="O118" s="505">
        <f t="shared" si="12"/>
        <v>0</v>
      </c>
      <c r="P118" s="505">
        <f t="shared" si="13"/>
        <v>0</v>
      </c>
      <c r="Q118" s="244"/>
      <c r="R118" s="244"/>
      <c r="S118" s="244"/>
      <c r="T118" s="244"/>
      <c r="U118" s="244"/>
    </row>
    <row r="119" spans="2:21" ht="12.5">
      <c r="B119" s="145" t="str">
        <f t="shared" si="11"/>
        <v/>
      </c>
      <c r="C119" s="496">
        <f>IF(D94="","-",+C118+1)</f>
        <v>2034</v>
      </c>
      <c r="D119" s="350">
        <f>IF(F118+SUM(E$100:E118)=D$93,F118,D$93-SUM(E$100:E118))</f>
        <v>3935244.553446223</v>
      </c>
      <c r="E119" s="510">
        <f>IF(+J97&lt;F118,J97,D119)</f>
        <v>258639.51515151514</v>
      </c>
      <c r="F119" s="511">
        <f t="shared" si="15"/>
        <v>3676605.0382947079</v>
      </c>
      <c r="G119" s="511">
        <f t="shared" si="16"/>
        <v>3805924.7958704652</v>
      </c>
      <c r="H119" s="524">
        <f t="shared" si="17"/>
        <v>669714.50628526276</v>
      </c>
      <c r="I119" s="573">
        <f t="shared" si="18"/>
        <v>669714.50628526276</v>
      </c>
      <c r="J119" s="505">
        <f t="shared" si="14"/>
        <v>0</v>
      </c>
      <c r="K119" s="505"/>
      <c r="L119" s="513"/>
      <c r="M119" s="505">
        <f t="shared" si="19"/>
        <v>0</v>
      </c>
      <c r="N119" s="513"/>
      <c r="O119" s="505">
        <f t="shared" si="12"/>
        <v>0</v>
      </c>
      <c r="P119" s="505">
        <f t="shared" si="13"/>
        <v>0</v>
      </c>
      <c r="Q119" s="244"/>
      <c r="R119" s="244"/>
      <c r="S119" s="244"/>
      <c r="T119" s="244"/>
      <c r="U119" s="244"/>
    </row>
    <row r="120" spans="2:21" ht="12.5">
      <c r="B120" s="145" t="str">
        <f t="shared" si="11"/>
        <v/>
      </c>
      <c r="C120" s="496">
        <f>IF(D94="","-",+C119+1)</f>
        <v>2035</v>
      </c>
      <c r="D120" s="350">
        <f>IF(F119+SUM(E$100:E119)=D$93,F119,D$93-SUM(E$100:E119))</f>
        <v>3676605.0382947079</v>
      </c>
      <c r="E120" s="510">
        <f>IF(+J97&lt;F119,J97,D120)</f>
        <v>258639.51515151514</v>
      </c>
      <c r="F120" s="511">
        <f t="shared" si="15"/>
        <v>3417965.5231431928</v>
      </c>
      <c r="G120" s="511">
        <f t="shared" si="16"/>
        <v>3547285.2807189506</v>
      </c>
      <c r="H120" s="524">
        <f t="shared" si="17"/>
        <v>641779.05245992541</v>
      </c>
      <c r="I120" s="573">
        <f t="shared" si="18"/>
        <v>641779.05245992541</v>
      </c>
      <c r="J120" s="505">
        <f t="shared" si="14"/>
        <v>0</v>
      </c>
      <c r="K120" s="505"/>
      <c r="L120" s="513"/>
      <c r="M120" s="505">
        <f t="shared" si="19"/>
        <v>0</v>
      </c>
      <c r="N120" s="513"/>
      <c r="O120" s="505">
        <f t="shared" si="12"/>
        <v>0</v>
      </c>
      <c r="P120" s="505">
        <f t="shared" si="13"/>
        <v>0</v>
      </c>
      <c r="Q120" s="244"/>
      <c r="R120" s="244"/>
      <c r="S120" s="244"/>
      <c r="T120" s="244"/>
      <c r="U120" s="244"/>
    </row>
    <row r="121" spans="2:21" ht="12.5">
      <c r="B121" s="145" t="str">
        <f t="shared" si="11"/>
        <v/>
      </c>
      <c r="C121" s="496">
        <f>IF(D94="","-",+C120+1)</f>
        <v>2036</v>
      </c>
      <c r="D121" s="350">
        <f>IF(F120+SUM(E$100:E120)=D$93,F120,D$93-SUM(E$100:E120))</f>
        <v>3417965.5231431928</v>
      </c>
      <c r="E121" s="510">
        <f>IF(+J97&lt;F120,J97,D121)</f>
        <v>258639.51515151514</v>
      </c>
      <c r="F121" s="511">
        <f t="shared" si="15"/>
        <v>3159326.0079916776</v>
      </c>
      <c r="G121" s="511">
        <f t="shared" si="16"/>
        <v>3288645.765567435</v>
      </c>
      <c r="H121" s="524">
        <f t="shared" si="17"/>
        <v>613843.59863458807</v>
      </c>
      <c r="I121" s="573">
        <f t="shared" si="18"/>
        <v>613843.59863458807</v>
      </c>
      <c r="J121" s="505">
        <f t="shared" si="14"/>
        <v>0</v>
      </c>
      <c r="K121" s="505"/>
      <c r="L121" s="513"/>
      <c r="M121" s="505">
        <f t="shared" si="19"/>
        <v>0</v>
      </c>
      <c r="N121" s="513"/>
      <c r="O121" s="505">
        <f t="shared" si="12"/>
        <v>0</v>
      </c>
      <c r="P121" s="505">
        <f t="shared" si="13"/>
        <v>0</v>
      </c>
      <c r="Q121" s="244"/>
      <c r="R121" s="244"/>
      <c r="S121" s="244"/>
      <c r="T121" s="244"/>
      <c r="U121" s="244"/>
    </row>
    <row r="122" spans="2:21" ht="12.5">
      <c r="B122" s="145" t="str">
        <f t="shared" si="11"/>
        <v/>
      </c>
      <c r="C122" s="496">
        <f>IF(D94="","-",+C121+1)</f>
        <v>2037</v>
      </c>
      <c r="D122" s="350">
        <f>IF(F121+SUM(E$100:E121)=D$93,F121,D$93-SUM(E$100:E121))</f>
        <v>3159326.0079916776</v>
      </c>
      <c r="E122" s="510">
        <f>IF(+J97&lt;F121,J97,D122)</f>
        <v>258639.51515151514</v>
      </c>
      <c r="F122" s="511">
        <f t="shared" si="15"/>
        <v>2900686.4928401625</v>
      </c>
      <c r="G122" s="511">
        <f t="shared" si="16"/>
        <v>3030006.2504159203</v>
      </c>
      <c r="H122" s="524">
        <f t="shared" si="17"/>
        <v>585908.14480925072</v>
      </c>
      <c r="I122" s="573">
        <f t="shared" si="18"/>
        <v>585908.14480925072</v>
      </c>
      <c r="J122" s="505">
        <f t="shared" si="14"/>
        <v>0</v>
      </c>
      <c r="K122" s="505"/>
      <c r="L122" s="513"/>
      <c r="M122" s="505">
        <f t="shared" si="19"/>
        <v>0</v>
      </c>
      <c r="N122" s="513"/>
      <c r="O122" s="505">
        <f t="shared" si="12"/>
        <v>0</v>
      </c>
      <c r="P122" s="505">
        <f t="shared" si="13"/>
        <v>0</v>
      </c>
      <c r="Q122" s="244"/>
      <c r="R122" s="244"/>
      <c r="S122" s="244"/>
      <c r="T122" s="244"/>
      <c r="U122" s="244"/>
    </row>
    <row r="123" spans="2:21" ht="12.5">
      <c r="B123" s="145" t="str">
        <f t="shared" si="11"/>
        <v/>
      </c>
      <c r="C123" s="496">
        <f>IF(D94="","-",+C122+1)</f>
        <v>2038</v>
      </c>
      <c r="D123" s="350">
        <f>IF(F122+SUM(E$100:E122)=D$93,F122,D$93-SUM(E$100:E122))</f>
        <v>2900686.4928401625</v>
      </c>
      <c r="E123" s="510">
        <f>IF(+J97&lt;F122,J97,D123)</f>
        <v>258639.51515151514</v>
      </c>
      <c r="F123" s="511">
        <f t="shared" si="15"/>
        <v>2642046.9776886473</v>
      </c>
      <c r="G123" s="511">
        <f t="shared" si="16"/>
        <v>2771366.7352644047</v>
      </c>
      <c r="H123" s="524">
        <f t="shared" si="17"/>
        <v>557972.69098391337</v>
      </c>
      <c r="I123" s="573">
        <f t="shared" si="18"/>
        <v>557972.69098391337</v>
      </c>
      <c r="J123" s="505">
        <f t="shared" si="14"/>
        <v>0</v>
      </c>
      <c r="K123" s="505"/>
      <c r="L123" s="513"/>
      <c r="M123" s="505">
        <f t="shared" si="19"/>
        <v>0</v>
      </c>
      <c r="N123" s="513"/>
      <c r="O123" s="505">
        <f t="shared" si="12"/>
        <v>0</v>
      </c>
      <c r="P123" s="505">
        <f t="shared" si="13"/>
        <v>0</v>
      </c>
      <c r="Q123" s="244"/>
      <c r="R123" s="244"/>
      <c r="S123" s="244"/>
      <c r="T123" s="244"/>
      <c r="U123" s="244"/>
    </row>
    <row r="124" spans="2:21" ht="12.5">
      <c r="B124" s="145" t="str">
        <f t="shared" si="11"/>
        <v/>
      </c>
      <c r="C124" s="496">
        <f>IF(D94="","-",+C123+1)</f>
        <v>2039</v>
      </c>
      <c r="D124" s="350">
        <f>IF(F123+SUM(E$100:E123)=D$93,F123,D$93-SUM(E$100:E123))</f>
        <v>2642046.9776886473</v>
      </c>
      <c r="E124" s="510">
        <f>IF(+J97&lt;F123,J97,D124)</f>
        <v>258639.51515151514</v>
      </c>
      <c r="F124" s="511">
        <f t="shared" si="15"/>
        <v>2383407.4625371322</v>
      </c>
      <c r="G124" s="511">
        <f t="shared" si="16"/>
        <v>2512727.22011289</v>
      </c>
      <c r="H124" s="524">
        <f t="shared" si="17"/>
        <v>530037.23715857603</v>
      </c>
      <c r="I124" s="573">
        <f t="shared" si="18"/>
        <v>530037.23715857603</v>
      </c>
      <c r="J124" s="505">
        <f t="shared" si="14"/>
        <v>0</v>
      </c>
      <c r="K124" s="505"/>
      <c r="L124" s="513"/>
      <c r="M124" s="505">
        <f t="shared" si="19"/>
        <v>0</v>
      </c>
      <c r="N124" s="513"/>
      <c r="O124" s="505">
        <f t="shared" si="12"/>
        <v>0</v>
      </c>
      <c r="P124" s="505">
        <f t="shared" si="13"/>
        <v>0</v>
      </c>
      <c r="Q124" s="244"/>
      <c r="R124" s="244"/>
      <c r="S124" s="244"/>
      <c r="T124" s="244"/>
      <c r="U124" s="244"/>
    </row>
    <row r="125" spans="2:21" ht="12.5">
      <c r="B125" s="145" t="str">
        <f t="shared" si="11"/>
        <v/>
      </c>
      <c r="C125" s="496">
        <f>IF(D94="","-",+C124+1)</f>
        <v>2040</v>
      </c>
      <c r="D125" s="350">
        <f>IF(F124+SUM(E$100:E124)=D$93,F124,D$93-SUM(E$100:E124))</f>
        <v>2383407.4625371322</v>
      </c>
      <c r="E125" s="510">
        <f>IF(+J97&lt;F124,J97,D125)</f>
        <v>258639.51515151514</v>
      </c>
      <c r="F125" s="511">
        <f t="shared" si="15"/>
        <v>2124767.9473856171</v>
      </c>
      <c r="G125" s="511">
        <f t="shared" si="16"/>
        <v>2254087.7049613744</v>
      </c>
      <c r="H125" s="524">
        <f t="shared" si="17"/>
        <v>502101.78333323868</v>
      </c>
      <c r="I125" s="573">
        <f t="shared" si="18"/>
        <v>502101.78333323868</v>
      </c>
      <c r="J125" s="505">
        <f t="shared" si="14"/>
        <v>0</v>
      </c>
      <c r="K125" s="505"/>
      <c r="L125" s="513"/>
      <c r="M125" s="505">
        <f t="shared" si="19"/>
        <v>0</v>
      </c>
      <c r="N125" s="513"/>
      <c r="O125" s="505">
        <f t="shared" si="12"/>
        <v>0</v>
      </c>
      <c r="P125" s="505">
        <f t="shared" si="13"/>
        <v>0</v>
      </c>
      <c r="Q125" s="244"/>
      <c r="R125" s="244"/>
      <c r="S125" s="244"/>
      <c r="T125" s="244"/>
      <c r="U125" s="244"/>
    </row>
    <row r="126" spans="2:21" ht="12.5">
      <c r="B126" s="145" t="str">
        <f t="shared" si="11"/>
        <v/>
      </c>
      <c r="C126" s="496">
        <f>IF(D94="","-",+C125+1)</f>
        <v>2041</v>
      </c>
      <c r="D126" s="350">
        <f>IF(F125+SUM(E$100:E125)=D$93,F125,D$93-SUM(E$100:E125))</f>
        <v>2124767.9473856171</v>
      </c>
      <c r="E126" s="510">
        <f>IF(+J97&lt;F125,J97,D126)</f>
        <v>258639.51515151514</v>
      </c>
      <c r="F126" s="511">
        <f t="shared" si="15"/>
        <v>1866128.4322341019</v>
      </c>
      <c r="G126" s="511">
        <f t="shared" si="16"/>
        <v>1995448.1898098595</v>
      </c>
      <c r="H126" s="524">
        <f t="shared" si="17"/>
        <v>474166.32950790133</v>
      </c>
      <c r="I126" s="573">
        <f t="shared" si="18"/>
        <v>474166.32950790133</v>
      </c>
      <c r="J126" s="505">
        <f t="shared" si="14"/>
        <v>0</v>
      </c>
      <c r="K126" s="505"/>
      <c r="L126" s="513"/>
      <c r="M126" s="505">
        <f t="shared" si="19"/>
        <v>0</v>
      </c>
      <c r="N126" s="513"/>
      <c r="O126" s="505">
        <f t="shared" si="12"/>
        <v>0</v>
      </c>
      <c r="P126" s="505">
        <f t="shared" si="13"/>
        <v>0</v>
      </c>
      <c r="Q126" s="244"/>
      <c r="R126" s="244"/>
      <c r="S126" s="244"/>
      <c r="T126" s="244"/>
      <c r="U126" s="244"/>
    </row>
    <row r="127" spans="2:21" ht="12.5">
      <c r="B127" s="145" t="str">
        <f t="shared" si="11"/>
        <v/>
      </c>
      <c r="C127" s="496">
        <f>IF(D94="","-",+C126+1)</f>
        <v>2042</v>
      </c>
      <c r="D127" s="350">
        <f>IF(F126+SUM(E$100:E126)=D$93,F126,D$93-SUM(E$100:E126))</f>
        <v>1866128.4322341019</v>
      </c>
      <c r="E127" s="510">
        <f>IF(+J97&lt;F126,J97,D127)</f>
        <v>258639.51515151514</v>
      </c>
      <c r="F127" s="511">
        <f t="shared" si="15"/>
        <v>1607488.9170825868</v>
      </c>
      <c r="G127" s="511">
        <f t="shared" si="16"/>
        <v>1736808.6746583444</v>
      </c>
      <c r="H127" s="524">
        <f t="shared" si="17"/>
        <v>446230.87568256399</v>
      </c>
      <c r="I127" s="573">
        <f t="shared" si="18"/>
        <v>446230.87568256399</v>
      </c>
      <c r="J127" s="505">
        <f t="shared" si="14"/>
        <v>0</v>
      </c>
      <c r="K127" s="505"/>
      <c r="L127" s="513"/>
      <c r="M127" s="505">
        <f t="shared" si="19"/>
        <v>0</v>
      </c>
      <c r="N127" s="513"/>
      <c r="O127" s="505">
        <f t="shared" si="12"/>
        <v>0</v>
      </c>
      <c r="P127" s="505">
        <f t="shared" si="13"/>
        <v>0</v>
      </c>
      <c r="Q127" s="244"/>
      <c r="R127" s="244"/>
      <c r="S127" s="244"/>
      <c r="T127" s="244"/>
      <c r="U127" s="244"/>
    </row>
    <row r="128" spans="2:21" ht="12.5">
      <c r="B128" s="145" t="str">
        <f t="shared" si="11"/>
        <v/>
      </c>
      <c r="C128" s="496">
        <f>IF(D94="","-",+C127+1)</f>
        <v>2043</v>
      </c>
      <c r="D128" s="350">
        <f>IF(F127+SUM(E$100:E127)=D$93,F127,D$93-SUM(E$100:E127))</f>
        <v>1607488.9170825868</v>
      </c>
      <c r="E128" s="510">
        <f>IF(+J97&lt;F127,J97,D128)</f>
        <v>258639.51515151514</v>
      </c>
      <c r="F128" s="511">
        <f t="shared" si="15"/>
        <v>1348849.4019310717</v>
      </c>
      <c r="G128" s="511">
        <f t="shared" si="16"/>
        <v>1478169.1595068292</v>
      </c>
      <c r="H128" s="524">
        <f t="shared" si="17"/>
        <v>418295.42185722664</v>
      </c>
      <c r="I128" s="573">
        <f t="shared" si="18"/>
        <v>418295.42185722664</v>
      </c>
      <c r="J128" s="505">
        <f t="shared" si="14"/>
        <v>0</v>
      </c>
      <c r="K128" s="505"/>
      <c r="L128" s="513"/>
      <c r="M128" s="505">
        <f t="shared" si="19"/>
        <v>0</v>
      </c>
      <c r="N128" s="513"/>
      <c r="O128" s="505">
        <f t="shared" si="12"/>
        <v>0</v>
      </c>
      <c r="P128" s="505">
        <f t="shared" si="13"/>
        <v>0</v>
      </c>
      <c r="Q128" s="244"/>
      <c r="R128" s="244"/>
      <c r="S128" s="244"/>
      <c r="T128" s="244"/>
      <c r="U128" s="244"/>
    </row>
    <row r="129" spans="2:21" ht="12.5">
      <c r="B129" s="145" t="str">
        <f t="shared" si="11"/>
        <v/>
      </c>
      <c r="C129" s="496">
        <f>IF(D94="","-",+C128+1)</f>
        <v>2044</v>
      </c>
      <c r="D129" s="350">
        <f>IF(F128+SUM(E$100:E128)=D$93,F128,D$93-SUM(E$100:E128))</f>
        <v>1348849.4019310717</v>
      </c>
      <c r="E129" s="510">
        <f>IF(+J97&lt;F128,J97,D129)</f>
        <v>258639.51515151514</v>
      </c>
      <c r="F129" s="511">
        <f t="shared" si="15"/>
        <v>1090209.8867795565</v>
      </c>
      <c r="G129" s="511">
        <f t="shared" si="16"/>
        <v>1219529.6443553141</v>
      </c>
      <c r="H129" s="524">
        <f t="shared" si="17"/>
        <v>390359.96803188929</v>
      </c>
      <c r="I129" s="573">
        <f t="shared" si="18"/>
        <v>390359.96803188929</v>
      </c>
      <c r="J129" s="505">
        <f t="shared" si="14"/>
        <v>0</v>
      </c>
      <c r="K129" s="505"/>
      <c r="L129" s="513"/>
      <c r="M129" s="505">
        <f t="shared" si="19"/>
        <v>0</v>
      </c>
      <c r="N129" s="513"/>
      <c r="O129" s="505">
        <f t="shared" si="12"/>
        <v>0</v>
      </c>
      <c r="P129" s="505">
        <f t="shared" si="13"/>
        <v>0</v>
      </c>
      <c r="Q129" s="244"/>
      <c r="R129" s="244"/>
      <c r="S129" s="244"/>
      <c r="T129" s="244"/>
      <c r="U129" s="244"/>
    </row>
    <row r="130" spans="2:21" ht="12.5">
      <c r="B130" s="145" t="str">
        <f t="shared" si="11"/>
        <v/>
      </c>
      <c r="C130" s="496">
        <f>IF(D94="","-",+C129+1)</f>
        <v>2045</v>
      </c>
      <c r="D130" s="350">
        <f>IF(F129+SUM(E$100:E129)=D$93,F129,D$93-SUM(E$100:E129))</f>
        <v>1090209.8867795565</v>
      </c>
      <c r="E130" s="510">
        <f>IF(+J97&lt;F129,J97,D130)</f>
        <v>258639.51515151514</v>
      </c>
      <c r="F130" s="511">
        <f t="shared" si="15"/>
        <v>831570.37162804138</v>
      </c>
      <c r="G130" s="511">
        <f t="shared" si="16"/>
        <v>960890.12920379895</v>
      </c>
      <c r="H130" s="524">
        <f t="shared" si="17"/>
        <v>362424.51420655195</v>
      </c>
      <c r="I130" s="573">
        <f t="shared" si="18"/>
        <v>362424.51420655195</v>
      </c>
      <c r="J130" s="505">
        <f t="shared" si="14"/>
        <v>0</v>
      </c>
      <c r="K130" s="505"/>
      <c r="L130" s="513"/>
      <c r="M130" s="505">
        <f t="shared" si="19"/>
        <v>0</v>
      </c>
      <c r="N130" s="513"/>
      <c r="O130" s="505">
        <f t="shared" si="12"/>
        <v>0</v>
      </c>
      <c r="P130" s="505">
        <f t="shared" si="13"/>
        <v>0</v>
      </c>
      <c r="Q130" s="244"/>
      <c r="R130" s="244"/>
      <c r="S130" s="244"/>
      <c r="T130" s="244"/>
      <c r="U130" s="244"/>
    </row>
    <row r="131" spans="2:21" ht="12.5">
      <c r="B131" s="145" t="str">
        <f t="shared" si="11"/>
        <v/>
      </c>
      <c r="C131" s="496">
        <f>IF(D94="","-",+C130+1)</f>
        <v>2046</v>
      </c>
      <c r="D131" s="350">
        <f>IF(F130+SUM(E$100:E130)=D$93,F130,D$93-SUM(E$100:E130))</f>
        <v>831570.37162804138</v>
      </c>
      <c r="E131" s="510">
        <f>IF(+J97&lt;F130,J97,D131)</f>
        <v>258639.51515151514</v>
      </c>
      <c r="F131" s="511">
        <f t="shared" si="15"/>
        <v>572930.85647652624</v>
      </c>
      <c r="G131" s="511">
        <f t="shared" si="16"/>
        <v>702250.61405228381</v>
      </c>
      <c r="H131" s="524">
        <f t="shared" si="17"/>
        <v>334489.0603812146</v>
      </c>
      <c r="I131" s="573">
        <f t="shared" si="18"/>
        <v>334489.0603812146</v>
      </c>
      <c r="J131" s="505">
        <f t="shared" si="14"/>
        <v>0</v>
      </c>
      <c r="K131" s="505"/>
      <c r="L131" s="513"/>
      <c r="M131" s="505">
        <f t="shared" si="19"/>
        <v>0</v>
      </c>
      <c r="N131" s="513"/>
      <c r="O131" s="505">
        <f t="shared" si="12"/>
        <v>0</v>
      </c>
      <c r="P131" s="505">
        <f t="shared" si="13"/>
        <v>0</v>
      </c>
      <c r="Q131" s="244"/>
      <c r="R131" s="244"/>
      <c r="S131" s="244"/>
      <c r="T131" s="244"/>
      <c r="U131" s="244"/>
    </row>
    <row r="132" spans="2:21" ht="12.5">
      <c r="B132" s="145" t="str">
        <f t="shared" si="11"/>
        <v/>
      </c>
      <c r="C132" s="496">
        <f>IF(D94="","-",+C131+1)</f>
        <v>2047</v>
      </c>
      <c r="D132" s="350">
        <f>IF(F131+SUM(E$100:E131)=D$93,F131,D$93-SUM(E$100:E131))</f>
        <v>572930.85647652624</v>
      </c>
      <c r="E132" s="510">
        <f>IF(+J97&lt;F131,J97,D132)</f>
        <v>258639.51515151514</v>
      </c>
      <c r="F132" s="511">
        <f t="shared" si="15"/>
        <v>314291.3413250111</v>
      </c>
      <c r="G132" s="511">
        <f t="shared" si="16"/>
        <v>443611.09890076867</v>
      </c>
      <c r="H132" s="524">
        <f t="shared" si="17"/>
        <v>306553.6065558772</v>
      </c>
      <c r="I132" s="573">
        <f t="shared" si="18"/>
        <v>306553.6065558772</v>
      </c>
      <c r="J132" s="505">
        <f t="shared" ref="J132:J155" si="20">+I542-H542</f>
        <v>0</v>
      </c>
      <c r="K132" s="505"/>
      <c r="L132" s="513"/>
      <c r="M132" s="505">
        <f t="shared" ref="M132:M155" si="21">IF(L542&lt;&gt;0,+H542-L542,0)</f>
        <v>0</v>
      </c>
      <c r="N132" s="513"/>
      <c r="O132" s="505">
        <f t="shared" ref="O132:O155" si="22">IF(N542&lt;&gt;0,+I542-N542,0)</f>
        <v>0</v>
      </c>
      <c r="P132" s="505">
        <f t="shared" ref="P132:P155" si="23">+O542-M542</f>
        <v>0</v>
      </c>
      <c r="Q132" s="244"/>
      <c r="R132" s="244"/>
      <c r="S132" s="244"/>
      <c r="T132" s="244"/>
      <c r="U132" s="244"/>
    </row>
    <row r="133" spans="2:21" ht="12.5">
      <c r="B133" s="145" t="str">
        <f t="shared" si="11"/>
        <v/>
      </c>
      <c r="C133" s="496">
        <f>IF(D94="","-",+C132+1)</f>
        <v>2048</v>
      </c>
      <c r="D133" s="350">
        <f>IF(F132+SUM(E$100:E132)=D$93,F132,D$93-SUM(E$100:E132))</f>
        <v>314291.3413250111</v>
      </c>
      <c r="E133" s="510">
        <f>IF(+J97&lt;F132,J97,D133)</f>
        <v>258639.51515151514</v>
      </c>
      <c r="F133" s="511">
        <f t="shared" si="15"/>
        <v>55651.826173495967</v>
      </c>
      <c r="G133" s="511">
        <f t="shared" si="16"/>
        <v>184971.58374925354</v>
      </c>
      <c r="H133" s="524">
        <f t="shared" si="17"/>
        <v>278618.15273053985</v>
      </c>
      <c r="I133" s="573">
        <f t="shared" si="18"/>
        <v>278618.15273053985</v>
      </c>
      <c r="J133" s="505">
        <f t="shared" si="20"/>
        <v>0</v>
      </c>
      <c r="K133" s="505"/>
      <c r="L133" s="513"/>
      <c r="M133" s="505">
        <f t="shared" si="21"/>
        <v>0</v>
      </c>
      <c r="N133" s="513"/>
      <c r="O133" s="505">
        <f t="shared" si="22"/>
        <v>0</v>
      </c>
      <c r="P133" s="505">
        <f t="shared" si="23"/>
        <v>0</v>
      </c>
      <c r="Q133" s="244"/>
      <c r="R133" s="244"/>
      <c r="S133" s="244"/>
      <c r="T133" s="244"/>
      <c r="U133" s="244"/>
    </row>
    <row r="134" spans="2:21" ht="12.5">
      <c r="B134" s="145" t="str">
        <f t="shared" si="11"/>
        <v/>
      </c>
      <c r="C134" s="496">
        <f>IF(D94="","-",+C133+1)</f>
        <v>2049</v>
      </c>
      <c r="D134" s="350">
        <f>IF(F133+SUM(E$100:E133)=D$93,F133,D$93-SUM(E$100:E133))</f>
        <v>55651.826173495967</v>
      </c>
      <c r="E134" s="510">
        <f>IF(+J97&lt;F133,J97,D134)</f>
        <v>55651.826173495967</v>
      </c>
      <c r="F134" s="511">
        <f t="shared" si="15"/>
        <v>0</v>
      </c>
      <c r="G134" s="511">
        <f t="shared" si="16"/>
        <v>27825.913086747983</v>
      </c>
      <c r="H134" s="524">
        <f t="shared" si="17"/>
        <v>58657.281506673986</v>
      </c>
      <c r="I134" s="573">
        <f t="shared" si="18"/>
        <v>58657.281506673986</v>
      </c>
      <c r="J134" s="505">
        <f t="shared" si="20"/>
        <v>0</v>
      </c>
      <c r="K134" s="505"/>
      <c r="L134" s="513"/>
      <c r="M134" s="505">
        <f t="shared" si="21"/>
        <v>0</v>
      </c>
      <c r="N134" s="513"/>
      <c r="O134" s="505">
        <f t="shared" si="22"/>
        <v>0</v>
      </c>
      <c r="P134" s="505">
        <f t="shared" si="23"/>
        <v>0</v>
      </c>
      <c r="Q134" s="244"/>
      <c r="R134" s="244"/>
      <c r="S134" s="244"/>
      <c r="T134" s="244"/>
      <c r="U134" s="244"/>
    </row>
    <row r="135" spans="2:21" ht="12.5">
      <c r="B135" s="145" t="str">
        <f t="shared" si="11"/>
        <v/>
      </c>
      <c r="C135" s="496">
        <f>IF(D94="","-",+C134+1)</f>
        <v>2050</v>
      </c>
      <c r="D135" s="350">
        <f>IF(F134+SUM(E$100:E134)=D$93,F134,D$93-SUM(E$100:E134))</f>
        <v>0</v>
      </c>
      <c r="E135" s="510">
        <f>IF(+J97&lt;F134,J97,D135)</f>
        <v>0</v>
      </c>
      <c r="F135" s="511">
        <f t="shared" si="15"/>
        <v>0</v>
      </c>
      <c r="G135" s="511">
        <f t="shared" si="16"/>
        <v>0</v>
      </c>
      <c r="H135" s="524">
        <f t="shared" si="17"/>
        <v>0</v>
      </c>
      <c r="I135" s="573">
        <f t="shared" si="18"/>
        <v>0</v>
      </c>
      <c r="J135" s="505">
        <f t="shared" si="20"/>
        <v>0</v>
      </c>
      <c r="K135" s="505"/>
      <c r="L135" s="513"/>
      <c r="M135" s="505">
        <f t="shared" si="21"/>
        <v>0</v>
      </c>
      <c r="N135" s="513"/>
      <c r="O135" s="505">
        <f t="shared" si="22"/>
        <v>0</v>
      </c>
      <c r="P135" s="505">
        <f t="shared" si="23"/>
        <v>0</v>
      </c>
      <c r="Q135" s="244"/>
      <c r="R135" s="244"/>
      <c r="S135" s="244"/>
      <c r="T135" s="244"/>
      <c r="U135" s="244"/>
    </row>
    <row r="136" spans="2:21" ht="12.5">
      <c r="B136" s="145" t="str">
        <f t="shared" si="11"/>
        <v/>
      </c>
      <c r="C136" s="496">
        <f>IF(D94="","-",+C135+1)</f>
        <v>2051</v>
      </c>
      <c r="D136" s="350">
        <f>IF(F135+SUM(E$100:E135)=D$93,F135,D$93-SUM(E$100:E135))</f>
        <v>0</v>
      </c>
      <c r="E136" s="510">
        <f>IF(+J97&lt;F135,J97,D136)</f>
        <v>0</v>
      </c>
      <c r="F136" s="511">
        <f t="shared" si="15"/>
        <v>0</v>
      </c>
      <c r="G136" s="511">
        <f t="shared" si="16"/>
        <v>0</v>
      </c>
      <c r="H136" s="524">
        <f t="shared" si="17"/>
        <v>0</v>
      </c>
      <c r="I136" s="573">
        <f t="shared" si="18"/>
        <v>0</v>
      </c>
      <c r="J136" s="505">
        <f t="shared" si="20"/>
        <v>0</v>
      </c>
      <c r="K136" s="505"/>
      <c r="L136" s="513"/>
      <c r="M136" s="505">
        <f t="shared" si="21"/>
        <v>0</v>
      </c>
      <c r="N136" s="513"/>
      <c r="O136" s="505">
        <f t="shared" si="22"/>
        <v>0</v>
      </c>
      <c r="P136" s="505">
        <f t="shared" si="23"/>
        <v>0</v>
      </c>
      <c r="Q136" s="244"/>
      <c r="R136" s="244"/>
      <c r="S136" s="244"/>
      <c r="T136" s="244"/>
      <c r="U136" s="244"/>
    </row>
    <row r="137" spans="2:21" ht="12.5">
      <c r="B137" s="145" t="str">
        <f t="shared" si="11"/>
        <v/>
      </c>
      <c r="C137" s="496">
        <f>IF(D94="","-",+C136+1)</f>
        <v>2052</v>
      </c>
      <c r="D137" s="350">
        <f>IF(F136+SUM(E$100:E136)=D$93,F136,D$93-SUM(E$100:E136))</f>
        <v>0</v>
      </c>
      <c r="E137" s="510">
        <f>IF(+J97&lt;F136,J97,D137)</f>
        <v>0</v>
      </c>
      <c r="F137" s="511">
        <f t="shared" si="15"/>
        <v>0</v>
      </c>
      <c r="G137" s="511">
        <f t="shared" si="16"/>
        <v>0</v>
      </c>
      <c r="H137" s="524">
        <f t="shared" si="17"/>
        <v>0</v>
      </c>
      <c r="I137" s="573">
        <f t="shared" si="18"/>
        <v>0</v>
      </c>
      <c r="J137" s="505">
        <f t="shared" si="20"/>
        <v>0</v>
      </c>
      <c r="K137" s="505"/>
      <c r="L137" s="513"/>
      <c r="M137" s="505">
        <f t="shared" si="21"/>
        <v>0</v>
      </c>
      <c r="N137" s="513"/>
      <c r="O137" s="505">
        <f t="shared" si="22"/>
        <v>0</v>
      </c>
      <c r="P137" s="505">
        <f t="shared" si="23"/>
        <v>0</v>
      </c>
      <c r="Q137" s="244"/>
      <c r="R137" s="244"/>
      <c r="S137" s="244"/>
      <c r="T137" s="244"/>
      <c r="U137" s="244"/>
    </row>
    <row r="138" spans="2:21" ht="12.5">
      <c r="B138" s="145" t="str">
        <f t="shared" si="11"/>
        <v/>
      </c>
      <c r="C138" s="496">
        <f>IF(D94="","-",+C137+1)</f>
        <v>2053</v>
      </c>
      <c r="D138" s="350">
        <f>IF(F137+SUM(E$100:E137)=D$93,F137,D$93-SUM(E$100:E137))</f>
        <v>0</v>
      </c>
      <c r="E138" s="510">
        <f>IF(+J97&lt;F137,J97,D138)</f>
        <v>0</v>
      </c>
      <c r="F138" s="511">
        <f t="shared" si="15"/>
        <v>0</v>
      </c>
      <c r="G138" s="511">
        <f t="shared" si="16"/>
        <v>0</v>
      </c>
      <c r="H138" s="524">
        <f t="shared" si="17"/>
        <v>0</v>
      </c>
      <c r="I138" s="573">
        <f t="shared" si="18"/>
        <v>0</v>
      </c>
      <c r="J138" s="505">
        <f t="shared" si="20"/>
        <v>0</v>
      </c>
      <c r="K138" s="505"/>
      <c r="L138" s="513"/>
      <c r="M138" s="505">
        <f t="shared" si="21"/>
        <v>0</v>
      </c>
      <c r="N138" s="513"/>
      <c r="O138" s="505">
        <f t="shared" si="22"/>
        <v>0</v>
      </c>
      <c r="P138" s="505">
        <f t="shared" si="23"/>
        <v>0</v>
      </c>
      <c r="Q138" s="244"/>
      <c r="R138" s="244"/>
      <c r="S138" s="244"/>
      <c r="T138" s="244"/>
      <c r="U138" s="244"/>
    </row>
    <row r="139" spans="2:21" ht="12.5">
      <c r="B139" s="145" t="str">
        <f t="shared" si="11"/>
        <v/>
      </c>
      <c r="C139" s="496">
        <f>IF(D94="","-",+C138+1)</f>
        <v>2054</v>
      </c>
      <c r="D139" s="350">
        <f>IF(F138+SUM(E$100:E138)=D$93,F138,D$93-SUM(E$100:E138))</f>
        <v>0</v>
      </c>
      <c r="E139" s="510">
        <f>IF(+J97&lt;F138,J97,D139)</f>
        <v>0</v>
      </c>
      <c r="F139" s="511">
        <f t="shared" si="15"/>
        <v>0</v>
      </c>
      <c r="G139" s="511">
        <f t="shared" si="16"/>
        <v>0</v>
      </c>
      <c r="H139" s="524">
        <f t="shared" si="17"/>
        <v>0</v>
      </c>
      <c r="I139" s="573">
        <f t="shared" si="18"/>
        <v>0</v>
      </c>
      <c r="J139" s="505">
        <f t="shared" si="20"/>
        <v>0</v>
      </c>
      <c r="K139" s="505"/>
      <c r="L139" s="513"/>
      <c r="M139" s="505">
        <f t="shared" si="21"/>
        <v>0</v>
      </c>
      <c r="N139" s="513"/>
      <c r="O139" s="505">
        <f t="shared" si="22"/>
        <v>0</v>
      </c>
      <c r="P139" s="505">
        <f t="shared" si="23"/>
        <v>0</v>
      </c>
      <c r="Q139" s="244"/>
      <c r="R139" s="244"/>
      <c r="S139" s="244"/>
      <c r="T139" s="244"/>
      <c r="U139" s="244"/>
    </row>
    <row r="140" spans="2:21" ht="12.5">
      <c r="B140" s="145" t="str">
        <f t="shared" si="11"/>
        <v/>
      </c>
      <c r="C140" s="496">
        <f>IF(D94="","-",+C139+1)</f>
        <v>2055</v>
      </c>
      <c r="D140" s="350">
        <f>IF(F139+SUM(E$100:E139)=D$93,F139,D$93-SUM(E$100:E139))</f>
        <v>0</v>
      </c>
      <c r="E140" s="510">
        <f>IF(+J97&lt;F139,J97,D140)</f>
        <v>0</v>
      </c>
      <c r="F140" s="511">
        <f t="shared" si="15"/>
        <v>0</v>
      </c>
      <c r="G140" s="511">
        <f t="shared" si="16"/>
        <v>0</v>
      </c>
      <c r="H140" s="524">
        <f t="shared" si="17"/>
        <v>0</v>
      </c>
      <c r="I140" s="573">
        <f t="shared" si="18"/>
        <v>0</v>
      </c>
      <c r="J140" s="505">
        <f t="shared" si="20"/>
        <v>0</v>
      </c>
      <c r="K140" s="505"/>
      <c r="L140" s="513"/>
      <c r="M140" s="505">
        <f t="shared" si="21"/>
        <v>0</v>
      </c>
      <c r="N140" s="513"/>
      <c r="O140" s="505">
        <f t="shared" si="22"/>
        <v>0</v>
      </c>
      <c r="P140" s="505">
        <f t="shared" si="23"/>
        <v>0</v>
      </c>
      <c r="Q140" s="244"/>
      <c r="R140" s="244"/>
      <c r="S140" s="244"/>
      <c r="T140" s="244"/>
      <c r="U140" s="244"/>
    </row>
    <row r="141" spans="2:21" ht="12.5">
      <c r="B141" s="145" t="str">
        <f t="shared" si="11"/>
        <v/>
      </c>
      <c r="C141" s="496">
        <f>IF(D94="","-",+C140+1)</f>
        <v>2056</v>
      </c>
      <c r="D141" s="350">
        <f>IF(F140+SUM(E$100:E140)=D$93,F140,D$93-SUM(E$100:E140))</f>
        <v>0</v>
      </c>
      <c r="E141" s="510">
        <f>IF(+J97&lt;F140,J97,D141)</f>
        <v>0</v>
      </c>
      <c r="F141" s="511">
        <f t="shared" si="15"/>
        <v>0</v>
      </c>
      <c r="G141" s="511">
        <f t="shared" si="16"/>
        <v>0</v>
      </c>
      <c r="H141" s="524">
        <f t="shared" si="17"/>
        <v>0</v>
      </c>
      <c r="I141" s="573">
        <f t="shared" si="18"/>
        <v>0</v>
      </c>
      <c r="J141" s="505">
        <f t="shared" si="20"/>
        <v>0</v>
      </c>
      <c r="K141" s="505"/>
      <c r="L141" s="513"/>
      <c r="M141" s="505">
        <f t="shared" si="21"/>
        <v>0</v>
      </c>
      <c r="N141" s="513"/>
      <c r="O141" s="505">
        <f t="shared" si="22"/>
        <v>0</v>
      </c>
      <c r="P141" s="505">
        <f t="shared" si="23"/>
        <v>0</v>
      </c>
      <c r="Q141" s="244"/>
      <c r="R141" s="244"/>
      <c r="S141" s="244"/>
      <c r="T141" s="244"/>
      <c r="U141" s="244"/>
    </row>
    <row r="142" spans="2:21" ht="12.5">
      <c r="B142" s="145" t="str">
        <f t="shared" si="11"/>
        <v/>
      </c>
      <c r="C142" s="496">
        <f>IF(D94="","-",+C141+1)</f>
        <v>2057</v>
      </c>
      <c r="D142" s="350">
        <f>IF(F141+SUM(E$100:E141)=D$93,F141,D$93-SUM(E$100:E141))</f>
        <v>0</v>
      </c>
      <c r="E142" s="510">
        <f>IF(+J97&lt;F141,J97,D142)</f>
        <v>0</v>
      </c>
      <c r="F142" s="511">
        <f t="shared" si="15"/>
        <v>0</v>
      </c>
      <c r="G142" s="511">
        <f t="shared" si="16"/>
        <v>0</v>
      </c>
      <c r="H142" s="524">
        <f t="shared" si="17"/>
        <v>0</v>
      </c>
      <c r="I142" s="573">
        <f t="shared" si="18"/>
        <v>0</v>
      </c>
      <c r="J142" s="505">
        <f t="shared" si="20"/>
        <v>0</v>
      </c>
      <c r="K142" s="505"/>
      <c r="L142" s="513"/>
      <c r="M142" s="505">
        <f t="shared" si="21"/>
        <v>0</v>
      </c>
      <c r="N142" s="513"/>
      <c r="O142" s="505">
        <f t="shared" si="22"/>
        <v>0</v>
      </c>
      <c r="P142" s="505">
        <f t="shared" si="23"/>
        <v>0</v>
      </c>
      <c r="Q142" s="244"/>
      <c r="R142" s="244"/>
      <c r="S142" s="244"/>
      <c r="T142" s="244"/>
      <c r="U142" s="244"/>
    </row>
    <row r="143" spans="2:21" ht="12.5">
      <c r="B143" s="145" t="str">
        <f t="shared" si="11"/>
        <v/>
      </c>
      <c r="C143" s="496">
        <f>IF(D94="","-",+C142+1)</f>
        <v>2058</v>
      </c>
      <c r="D143" s="350">
        <f>IF(F142+SUM(E$100:E142)=D$93,F142,D$93-SUM(E$100:E142))</f>
        <v>0</v>
      </c>
      <c r="E143" s="510">
        <f>IF(+J97&lt;F142,J97,D143)</f>
        <v>0</v>
      </c>
      <c r="F143" s="511">
        <f t="shared" si="15"/>
        <v>0</v>
      </c>
      <c r="G143" s="511">
        <f t="shared" si="16"/>
        <v>0</v>
      </c>
      <c r="H143" s="524">
        <f t="shared" si="17"/>
        <v>0</v>
      </c>
      <c r="I143" s="573">
        <f t="shared" si="18"/>
        <v>0</v>
      </c>
      <c r="J143" s="505">
        <f t="shared" si="20"/>
        <v>0</v>
      </c>
      <c r="K143" s="505"/>
      <c r="L143" s="513"/>
      <c r="M143" s="505">
        <f t="shared" si="21"/>
        <v>0</v>
      </c>
      <c r="N143" s="513"/>
      <c r="O143" s="505">
        <f t="shared" si="22"/>
        <v>0</v>
      </c>
      <c r="P143" s="505">
        <f t="shared" si="23"/>
        <v>0</v>
      </c>
      <c r="Q143" s="244"/>
      <c r="R143" s="244"/>
      <c r="S143" s="244"/>
      <c r="T143" s="244"/>
      <c r="U143" s="244"/>
    </row>
    <row r="144" spans="2:21" ht="12.5">
      <c r="B144" s="145" t="str">
        <f t="shared" si="11"/>
        <v/>
      </c>
      <c r="C144" s="496">
        <f>IF(D94="","-",+C143+1)</f>
        <v>2059</v>
      </c>
      <c r="D144" s="350">
        <f>IF(F143+SUM(E$100:E143)=D$93,F143,D$93-SUM(E$100:E143))</f>
        <v>0</v>
      </c>
      <c r="E144" s="510">
        <f>IF(+J97&lt;F143,J97,D144)</f>
        <v>0</v>
      </c>
      <c r="F144" s="511">
        <f t="shared" si="15"/>
        <v>0</v>
      </c>
      <c r="G144" s="511">
        <f t="shared" si="16"/>
        <v>0</v>
      </c>
      <c r="H144" s="524">
        <f t="shared" si="17"/>
        <v>0</v>
      </c>
      <c r="I144" s="573">
        <f t="shared" si="18"/>
        <v>0</v>
      </c>
      <c r="J144" s="505">
        <f t="shared" si="20"/>
        <v>0</v>
      </c>
      <c r="K144" s="505"/>
      <c r="L144" s="513"/>
      <c r="M144" s="505">
        <f t="shared" si="21"/>
        <v>0</v>
      </c>
      <c r="N144" s="513"/>
      <c r="O144" s="505">
        <f t="shared" si="22"/>
        <v>0</v>
      </c>
      <c r="P144" s="505">
        <f t="shared" si="23"/>
        <v>0</v>
      </c>
      <c r="Q144" s="244"/>
      <c r="R144" s="244"/>
      <c r="S144" s="244"/>
      <c r="T144" s="244"/>
      <c r="U144" s="244"/>
    </row>
    <row r="145" spans="2:21" ht="12.5">
      <c r="B145" s="145" t="str">
        <f t="shared" si="11"/>
        <v/>
      </c>
      <c r="C145" s="496">
        <f>IF(D94="","-",+C144+1)</f>
        <v>2060</v>
      </c>
      <c r="D145" s="350">
        <f>IF(F144+SUM(E$100:E144)=D$93,F144,D$93-SUM(E$100:E144))</f>
        <v>0</v>
      </c>
      <c r="E145" s="510">
        <f>IF(+J97&lt;F144,J97,D145)</f>
        <v>0</v>
      </c>
      <c r="F145" s="511">
        <f t="shared" si="15"/>
        <v>0</v>
      </c>
      <c r="G145" s="511">
        <f t="shared" si="16"/>
        <v>0</v>
      </c>
      <c r="H145" s="524">
        <f t="shared" si="17"/>
        <v>0</v>
      </c>
      <c r="I145" s="573">
        <f t="shared" si="18"/>
        <v>0</v>
      </c>
      <c r="J145" s="505">
        <f t="shared" si="20"/>
        <v>0</v>
      </c>
      <c r="K145" s="505"/>
      <c r="L145" s="513"/>
      <c r="M145" s="505">
        <f t="shared" si="21"/>
        <v>0</v>
      </c>
      <c r="N145" s="513"/>
      <c r="O145" s="505">
        <f t="shared" si="22"/>
        <v>0</v>
      </c>
      <c r="P145" s="505">
        <f t="shared" si="23"/>
        <v>0</v>
      </c>
      <c r="Q145" s="244"/>
      <c r="R145" s="244"/>
      <c r="S145" s="244"/>
      <c r="T145" s="244"/>
      <c r="U145" s="244"/>
    </row>
    <row r="146" spans="2:21" ht="12.5">
      <c r="B146" s="145" t="str">
        <f t="shared" si="11"/>
        <v/>
      </c>
      <c r="C146" s="496">
        <f>IF(D94="","-",+C145+1)</f>
        <v>2061</v>
      </c>
      <c r="D146" s="350">
        <f>IF(F145+SUM(E$100:E145)=D$93,F145,D$93-SUM(E$100:E145))</f>
        <v>0</v>
      </c>
      <c r="E146" s="510">
        <f>IF(+J97&lt;F145,J97,D146)</f>
        <v>0</v>
      </c>
      <c r="F146" s="511">
        <f t="shared" si="15"/>
        <v>0</v>
      </c>
      <c r="G146" s="511">
        <f t="shared" si="16"/>
        <v>0</v>
      </c>
      <c r="H146" s="524">
        <f t="shared" si="17"/>
        <v>0</v>
      </c>
      <c r="I146" s="573">
        <f t="shared" si="18"/>
        <v>0</v>
      </c>
      <c r="J146" s="505">
        <f t="shared" si="20"/>
        <v>0</v>
      </c>
      <c r="K146" s="505"/>
      <c r="L146" s="513"/>
      <c r="M146" s="505">
        <f t="shared" si="21"/>
        <v>0</v>
      </c>
      <c r="N146" s="513"/>
      <c r="O146" s="505">
        <f t="shared" si="22"/>
        <v>0</v>
      </c>
      <c r="P146" s="505">
        <f t="shared" si="23"/>
        <v>0</v>
      </c>
      <c r="Q146" s="244"/>
      <c r="R146" s="244"/>
      <c r="S146" s="244"/>
      <c r="T146" s="244"/>
      <c r="U146" s="244"/>
    </row>
    <row r="147" spans="2:21" ht="12.5">
      <c r="B147" s="145" t="str">
        <f t="shared" si="11"/>
        <v/>
      </c>
      <c r="C147" s="496">
        <f>IF(D94="","-",+C146+1)</f>
        <v>2062</v>
      </c>
      <c r="D147" s="350">
        <f>IF(F146+SUM(E$100:E146)=D$93,F146,D$93-SUM(E$100:E146))</f>
        <v>0</v>
      </c>
      <c r="E147" s="510">
        <f>IF(+J97&lt;F146,J97,D147)</f>
        <v>0</v>
      </c>
      <c r="F147" s="511">
        <f t="shared" si="15"/>
        <v>0</v>
      </c>
      <c r="G147" s="511">
        <f t="shared" si="16"/>
        <v>0</v>
      </c>
      <c r="H147" s="524">
        <f t="shared" si="17"/>
        <v>0</v>
      </c>
      <c r="I147" s="573">
        <f t="shared" si="18"/>
        <v>0</v>
      </c>
      <c r="J147" s="505">
        <f t="shared" si="20"/>
        <v>0</v>
      </c>
      <c r="K147" s="505"/>
      <c r="L147" s="513"/>
      <c r="M147" s="505">
        <f t="shared" si="21"/>
        <v>0</v>
      </c>
      <c r="N147" s="513"/>
      <c r="O147" s="505">
        <f t="shared" si="22"/>
        <v>0</v>
      </c>
      <c r="P147" s="505">
        <f t="shared" si="23"/>
        <v>0</v>
      </c>
      <c r="Q147" s="244"/>
      <c r="R147" s="244"/>
      <c r="S147" s="244"/>
      <c r="T147" s="244"/>
      <c r="U147" s="244"/>
    </row>
    <row r="148" spans="2:21" ht="12.5">
      <c r="B148" s="145" t="str">
        <f t="shared" si="11"/>
        <v/>
      </c>
      <c r="C148" s="496">
        <f>IF(D94="","-",+C147+1)</f>
        <v>2063</v>
      </c>
      <c r="D148" s="350">
        <f>IF(F147+SUM(E$100:E147)=D$93,F147,D$93-SUM(E$100:E147))</f>
        <v>0</v>
      </c>
      <c r="E148" s="510">
        <f>IF(+J97&lt;F147,J97,D148)</f>
        <v>0</v>
      </c>
      <c r="F148" s="511">
        <f t="shared" si="15"/>
        <v>0</v>
      </c>
      <c r="G148" s="511">
        <f t="shared" si="16"/>
        <v>0</v>
      </c>
      <c r="H148" s="524">
        <f t="shared" si="17"/>
        <v>0</v>
      </c>
      <c r="I148" s="573">
        <f t="shared" si="18"/>
        <v>0</v>
      </c>
      <c r="J148" s="505">
        <f t="shared" si="20"/>
        <v>0</v>
      </c>
      <c r="K148" s="505"/>
      <c r="L148" s="513"/>
      <c r="M148" s="505">
        <f t="shared" si="21"/>
        <v>0</v>
      </c>
      <c r="N148" s="513"/>
      <c r="O148" s="505">
        <f t="shared" si="22"/>
        <v>0</v>
      </c>
      <c r="P148" s="505">
        <f t="shared" si="23"/>
        <v>0</v>
      </c>
      <c r="Q148" s="244"/>
      <c r="R148" s="244"/>
      <c r="S148" s="244"/>
      <c r="T148" s="244"/>
      <c r="U148" s="244"/>
    </row>
    <row r="149" spans="2:21" ht="12.5">
      <c r="B149" s="145" t="str">
        <f t="shared" si="11"/>
        <v/>
      </c>
      <c r="C149" s="496">
        <f>IF(D94="","-",+C148+1)</f>
        <v>2064</v>
      </c>
      <c r="D149" s="350">
        <f>IF(F148+SUM(E$100:E148)=D$93,F148,D$93-SUM(E$100:E148))</f>
        <v>0</v>
      </c>
      <c r="E149" s="510">
        <f>IF(+J97&lt;F148,J97,D149)</f>
        <v>0</v>
      </c>
      <c r="F149" s="511">
        <f t="shared" si="15"/>
        <v>0</v>
      </c>
      <c r="G149" s="511">
        <f t="shared" si="16"/>
        <v>0</v>
      </c>
      <c r="H149" s="524">
        <f t="shared" si="17"/>
        <v>0</v>
      </c>
      <c r="I149" s="573">
        <f t="shared" si="18"/>
        <v>0</v>
      </c>
      <c r="J149" s="505">
        <f t="shared" si="20"/>
        <v>0</v>
      </c>
      <c r="K149" s="505"/>
      <c r="L149" s="513"/>
      <c r="M149" s="505">
        <f t="shared" si="21"/>
        <v>0</v>
      </c>
      <c r="N149" s="513"/>
      <c r="O149" s="505">
        <f t="shared" si="22"/>
        <v>0</v>
      </c>
      <c r="P149" s="505">
        <f t="shared" si="23"/>
        <v>0</v>
      </c>
      <c r="Q149" s="244"/>
      <c r="R149" s="244"/>
      <c r="S149" s="244"/>
      <c r="T149" s="244"/>
      <c r="U149" s="244"/>
    </row>
    <row r="150" spans="2:21" ht="12.5">
      <c r="B150" s="145" t="str">
        <f t="shared" si="11"/>
        <v/>
      </c>
      <c r="C150" s="496">
        <f>IF(D94="","-",+C149+1)</f>
        <v>2065</v>
      </c>
      <c r="D150" s="350">
        <f>IF(F149+SUM(E$100:E149)=D$93,F149,D$93-SUM(E$100:E149))</f>
        <v>0</v>
      </c>
      <c r="E150" s="510">
        <f>IF(+J97&lt;F149,J97,D150)</f>
        <v>0</v>
      </c>
      <c r="F150" s="511">
        <f t="shared" si="15"/>
        <v>0</v>
      </c>
      <c r="G150" s="511">
        <f t="shared" si="16"/>
        <v>0</v>
      </c>
      <c r="H150" s="524">
        <f t="shared" si="17"/>
        <v>0</v>
      </c>
      <c r="I150" s="573">
        <f t="shared" si="18"/>
        <v>0</v>
      </c>
      <c r="J150" s="505">
        <f t="shared" si="20"/>
        <v>0</v>
      </c>
      <c r="K150" s="505"/>
      <c r="L150" s="513"/>
      <c r="M150" s="505">
        <f t="shared" si="21"/>
        <v>0</v>
      </c>
      <c r="N150" s="513"/>
      <c r="O150" s="505">
        <f t="shared" si="22"/>
        <v>0</v>
      </c>
      <c r="P150" s="505">
        <f t="shared" si="23"/>
        <v>0</v>
      </c>
      <c r="Q150" s="244"/>
      <c r="R150" s="244"/>
      <c r="S150" s="244"/>
      <c r="T150" s="244"/>
      <c r="U150" s="244"/>
    </row>
    <row r="151" spans="2:21" ht="12.5">
      <c r="B151" s="145" t="str">
        <f t="shared" si="11"/>
        <v/>
      </c>
      <c r="C151" s="496">
        <f>IF(D94="","-",+C150+1)</f>
        <v>2066</v>
      </c>
      <c r="D151" s="350">
        <f>IF(F150+SUM(E$100:E150)=D$93,F150,D$93-SUM(E$100:E150))</f>
        <v>0</v>
      </c>
      <c r="E151" s="510">
        <f>IF(+J97&lt;F150,J97,D151)</f>
        <v>0</v>
      </c>
      <c r="F151" s="511">
        <f t="shared" si="15"/>
        <v>0</v>
      </c>
      <c r="G151" s="511">
        <f t="shared" si="16"/>
        <v>0</v>
      </c>
      <c r="H151" s="524">
        <f t="shared" si="17"/>
        <v>0</v>
      </c>
      <c r="I151" s="573">
        <f t="shared" si="18"/>
        <v>0</v>
      </c>
      <c r="J151" s="505">
        <f t="shared" si="20"/>
        <v>0</v>
      </c>
      <c r="K151" s="505"/>
      <c r="L151" s="513"/>
      <c r="M151" s="505">
        <f t="shared" si="21"/>
        <v>0</v>
      </c>
      <c r="N151" s="513"/>
      <c r="O151" s="505">
        <f t="shared" si="22"/>
        <v>0</v>
      </c>
      <c r="P151" s="505">
        <f t="shared" si="23"/>
        <v>0</v>
      </c>
      <c r="Q151" s="244"/>
      <c r="R151" s="244"/>
      <c r="S151" s="244"/>
      <c r="T151" s="244"/>
      <c r="U151" s="244"/>
    </row>
    <row r="152" spans="2:21" ht="12.5">
      <c r="B152" s="145" t="str">
        <f t="shared" si="11"/>
        <v/>
      </c>
      <c r="C152" s="496">
        <f>IF(D94="","-",+C151+1)</f>
        <v>2067</v>
      </c>
      <c r="D152" s="350">
        <f>IF(F151+SUM(E$100:E151)=D$93,F151,D$93-SUM(E$100:E151))</f>
        <v>0</v>
      </c>
      <c r="E152" s="510">
        <f>IF(+J97&lt;F151,J97,D152)</f>
        <v>0</v>
      </c>
      <c r="F152" s="511">
        <f t="shared" si="15"/>
        <v>0</v>
      </c>
      <c r="G152" s="511">
        <f t="shared" si="16"/>
        <v>0</v>
      </c>
      <c r="H152" s="524">
        <f t="shared" si="17"/>
        <v>0</v>
      </c>
      <c r="I152" s="573">
        <f t="shared" si="18"/>
        <v>0</v>
      </c>
      <c r="J152" s="505">
        <f t="shared" si="20"/>
        <v>0</v>
      </c>
      <c r="K152" s="505"/>
      <c r="L152" s="513"/>
      <c r="M152" s="505">
        <f t="shared" si="21"/>
        <v>0</v>
      </c>
      <c r="N152" s="513"/>
      <c r="O152" s="505">
        <f t="shared" si="22"/>
        <v>0</v>
      </c>
      <c r="P152" s="505">
        <f t="shared" si="23"/>
        <v>0</v>
      </c>
      <c r="Q152" s="244"/>
      <c r="R152" s="244"/>
      <c r="S152" s="244"/>
      <c r="T152" s="244"/>
      <c r="U152" s="244"/>
    </row>
    <row r="153" spans="2:21" ht="12.5">
      <c r="B153" s="145" t="str">
        <f t="shared" si="11"/>
        <v/>
      </c>
      <c r="C153" s="496">
        <f>IF(D94="","-",+C152+1)</f>
        <v>2068</v>
      </c>
      <c r="D153" s="350">
        <f>IF(F152+SUM(E$100:E152)=D$93,F152,D$93-SUM(E$100:E152))</f>
        <v>0</v>
      </c>
      <c r="E153" s="510">
        <f>IF(+J97&lt;F152,J97,D153)</f>
        <v>0</v>
      </c>
      <c r="F153" s="511">
        <f t="shared" si="15"/>
        <v>0</v>
      </c>
      <c r="G153" s="511">
        <f t="shared" si="16"/>
        <v>0</v>
      </c>
      <c r="H153" s="524">
        <f t="shared" si="17"/>
        <v>0</v>
      </c>
      <c r="I153" s="573">
        <f t="shared" si="18"/>
        <v>0</v>
      </c>
      <c r="J153" s="505">
        <f t="shared" si="20"/>
        <v>0</v>
      </c>
      <c r="K153" s="505"/>
      <c r="L153" s="513"/>
      <c r="M153" s="505">
        <f t="shared" si="21"/>
        <v>0</v>
      </c>
      <c r="N153" s="513"/>
      <c r="O153" s="505">
        <f t="shared" si="22"/>
        <v>0</v>
      </c>
      <c r="P153" s="505">
        <f t="shared" si="23"/>
        <v>0</v>
      </c>
      <c r="Q153" s="244"/>
      <c r="R153" s="244"/>
      <c r="S153" s="244"/>
      <c r="T153" s="244"/>
      <c r="U153" s="244"/>
    </row>
    <row r="154" spans="2:21" ht="12.5">
      <c r="B154" s="145" t="str">
        <f t="shared" si="11"/>
        <v/>
      </c>
      <c r="C154" s="496">
        <f>IF(D94="","-",+C153+1)</f>
        <v>2069</v>
      </c>
      <c r="D154" s="350">
        <f>IF(F153+SUM(E$100:E153)=D$93,F153,D$93-SUM(E$100:E153))</f>
        <v>0</v>
      </c>
      <c r="E154" s="510">
        <f>IF(+J97&lt;F153,J97,D154)</f>
        <v>0</v>
      </c>
      <c r="F154" s="511">
        <f t="shared" si="15"/>
        <v>0</v>
      </c>
      <c r="G154" s="511">
        <f t="shared" si="16"/>
        <v>0</v>
      </c>
      <c r="H154" s="524">
        <f t="shared" si="17"/>
        <v>0</v>
      </c>
      <c r="I154" s="573">
        <f t="shared" si="18"/>
        <v>0</v>
      </c>
      <c r="J154" s="505">
        <f t="shared" si="20"/>
        <v>0</v>
      </c>
      <c r="K154" s="505"/>
      <c r="L154" s="513"/>
      <c r="M154" s="505">
        <f t="shared" si="21"/>
        <v>0</v>
      </c>
      <c r="N154" s="513"/>
      <c r="O154" s="505">
        <f t="shared" si="22"/>
        <v>0</v>
      </c>
      <c r="P154" s="505">
        <f t="shared" si="23"/>
        <v>0</v>
      </c>
      <c r="Q154" s="244"/>
      <c r="R154" s="244"/>
      <c r="S154" s="244"/>
      <c r="T154" s="244"/>
      <c r="U154" s="244"/>
    </row>
    <row r="155" spans="2:21" ht="13" thickBot="1">
      <c r="B155" s="145" t="str">
        <f t="shared" si="11"/>
        <v/>
      </c>
      <c r="C155" s="525">
        <f>IF(D94="","-",+C154+1)</f>
        <v>2070</v>
      </c>
      <c r="D155" s="350">
        <f>IF(F154+SUM(E$100:E154)=D$93,F154,D$93-SUM(E$100:E154))</f>
        <v>0</v>
      </c>
      <c r="E155" s="527">
        <f>IF(+J97&lt;F154,J97,D155)</f>
        <v>0</v>
      </c>
      <c r="F155" s="528">
        <f t="shared" si="15"/>
        <v>0</v>
      </c>
      <c r="G155" s="528">
        <f t="shared" si="16"/>
        <v>0</v>
      </c>
      <c r="H155" s="624">
        <f t="shared" si="17"/>
        <v>0</v>
      </c>
      <c r="I155" s="625">
        <f t="shared" si="18"/>
        <v>0</v>
      </c>
      <c r="J155" s="532">
        <f t="shared" si="20"/>
        <v>0</v>
      </c>
      <c r="K155" s="505"/>
      <c r="L155" s="531"/>
      <c r="M155" s="532">
        <f t="shared" si="21"/>
        <v>0</v>
      </c>
      <c r="N155" s="531"/>
      <c r="O155" s="532">
        <f t="shared" si="22"/>
        <v>0</v>
      </c>
      <c r="P155" s="532">
        <f t="shared" si="23"/>
        <v>0</v>
      </c>
      <c r="Q155" s="244"/>
      <c r="R155" s="244"/>
      <c r="S155" s="244"/>
      <c r="T155" s="244"/>
      <c r="U155" s="244"/>
    </row>
    <row r="156" spans="2:21" ht="12.5">
      <c r="C156" s="350" t="s">
        <v>75</v>
      </c>
      <c r="D156" s="295"/>
      <c r="E156" s="295">
        <f>SUM(E100:E155)</f>
        <v>8535104.0000000019</v>
      </c>
      <c r="F156" s="295"/>
      <c r="G156" s="295"/>
      <c r="H156" s="295">
        <f>SUM(H100:H155)</f>
        <v>24452480.990166031</v>
      </c>
      <c r="I156" s="295">
        <f>SUM(I100:I155)</f>
        <v>24452480.990166031</v>
      </c>
      <c r="J156" s="295">
        <f>SUM(J100:J155)</f>
        <v>0</v>
      </c>
      <c r="K156" s="295"/>
      <c r="L156" s="295"/>
      <c r="M156" s="295"/>
      <c r="N156" s="295"/>
      <c r="O156" s="295"/>
      <c r="P156" s="244"/>
      <c r="Q156" s="244"/>
      <c r="R156" s="244"/>
      <c r="S156" s="244"/>
      <c r="T156" s="244"/>
      <c r="U156" s="244"/>
    </row>
    <row r="157" spans="2:21" ht="12.5">
      <c r="C157" s="145" t="s">
        <v>90</v>
      </c>
      <c r="D157" s="293"/>
      <c r="E157" s="244"/>
      <c r="F157" s="244"/>
      <c r="G157" s="244"/>
      <c r="H157" s="244"/>
      <c r="I157" s="326"/>
      <c r="J157" s="326"/>
      <c r="K157" s="295"/>
      <c r="L157" s="326"/>
      <c r="M157" s="326"/>
      <c r="N157" s="326"/>
      <c r="O157" s="326"/>
      <c r="P157" s="244"/>
      <c r="Q157" s="244"/>
      <c r="R157" s="244"/>
      <c r="S157" s="244"/>
      <c r="T157" s="244"/>
      <c r="U157" s="244"/>
    </row>
    <row r="158" spans="2:21" ht="12.5">
      <c r="C158" s="575"/>
      <c r="D158" s="293"/>
      <c r="E158" s="244"/>
      <c r="F158" s="244"/>
      <c r="G158" s="244"/>
      <c r="H158" s="244"/>
      <c r="I158" s="326"/>
      <c r="J158" s="326"/>
      <c r="K158" s="295"/>
      <c r="L158" s="326"/>
      <c r="M158" s="326"/>
      <c r="N158" s="326"/>
      <c r="O158" s="326"/>
      <c r="P158" s="244"/>
      <c r="Q158" s="244"/>
      <c r="R158" s="244"/>
      <c r="S158" s="244"/>
      <c r="T158" s="244"/>
      <c r="U158" s="244"/>
    </row>
    <row r="159" spans="2:21" ht="13">
      <c r="C159" s="620" t="s">
        <v>130</v>
      </c>
      <c r="D159" s="293"/>
      <c r="E159" s="244"/>
      <c r="F159" s="244"/>
      <c r="G159" s="244"/>
      <c r="H159" s="244"/>
      <c r="I159" s="326"/>
      <c r="J159" s="326"/>
      <c r="K159" s="295"/>
      <c r="L159" s="326"/>
      <c r="M159" s="326"/>
      <c r="N159" s="326"/>
      <c r="O159" s="326"/>
      <c r="P159" s="244"/>
      <c r="Q159" s="244"/>
      <c r="R159" s="244"/>
      <c r="S159" s="244"/>
      <c r="T159" s="244"/>
      <c r="U159" s="244"/>
    </row>
    <row r="160" spans="2:21" ht="13">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ht="13">
      <c r="C162" s="576"/>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31" priority="1" stopIfTrue="1" operator="equal">
      <formula>$I$10</formula>
    </cfRule>
  </conditionalFormatting>
  <conditionalFormatting sqref="C100:C155">
    <cfRule type="cellIs" dxfId="30"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9" tint="0.39997558519241921"/>
  </sheetPr>
  <dimension ref="A1:U163"/>
  <sheetViews>
    <sheetView view="pageBreakPreview" zoomScale="78" zoomScaleNormal="100" zoomScaleSheetLayoutView="78" workbookViewId="0">
      <selection activeCell="D10" sqref="D10"/>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"&amp;RIGHT(MID(CELL("filename",$A$1),FIND("]",CELL("filename",$A$1))+1,256),2)&amp;" of "&amp;COUNT('OKT.001:OKT.xyz - blank'!$P$3)-1</f>
        <v>OKT Project 10 of 19</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877586.22744876624</v>
      </c>
      <c r="P5" s="244"/>
      <c r="R5" s="244"/>
      <c r="S5" s="244"/>
      <c r="T5" s="244"/>
      <c r="U5" s="244"/>
    </row>
    <row r="6" spans="1:21" ht="15.5">
      <c r="C6" s="236"/>
      <c r="D6" s="293"/>
      <c r="E6" s="244"/>
      <c r="F6" s="244"/>
      <c r="G6" s="244"/>
      <c r="H6" s="450"/>
      <c r="I6" s="450"/>
      <c r="J6" s="451"/>
      <c r="K6" s="452" t="s">
        <v>243</v>
      </c>
      <c r="L6" s="453"/>
      <c r="M6" s="279"/>
      <c r="N6" s="454">
        <f>VLOOKUP(I10,C17:I73,6)</f>
        <v>877586.22744876624</v>
      </c>
      <c r="O6" s="244"/>
      <c r="P6" s="244"/>
      <c r="R6" s="244"/>
      <c r="S6" s="244"/>
      <c r="T6" s="244"/>
      <c r="U6" s="244"/>
    </row>
    <row r="7" spans="1:21" ht="13.5" thickBot="1">
      <c r="C7" s="455" t="s">
        <v>46</v>
      </c>
      <c r="D7" s="456" t="s">
        <v>229</v>
      </c>
      <c r="E7" s="244"/>
      <c r="F7" s="244"/>
      <c r="G7" s="244"/>
      <c r="H7" s="326"/>
      <c r="I7" s="326"/>
      <c r="J7" s="295"/>
      <c r="K7" s="457" t="s">
        <v>47</v>
      </c>
      <c r="L7" s="458"/>
      <c r="M7" s="458"/>
      <c r="N7" s="459">
        <f>+N6-N5</f>
        <v>0</v>
      </c>
      <c r="O7" s="244"/>
      <c r="P7" s="244"/>
      <c r="R7" s="244"/>
      <c r="S7" s="244"/>
      <c r="T7" s="244"/>
      <c r="U7" s="244"/>
    </row>
    <row r="8" spans="1:21" ht="13.5" thickBot="1">
      <c r="C8" s="460"/>
      <c r="D8" s="626" t="s">
        <v>230</v>
      </c>
      <c r="E8" s="462"/>
      <c r="F8" s="462"/>
      <c r="G8" s="462"/>
      <c r="H8" s="462"/>
      <c r="I8" s="462"/>
      <c r="J8" s="463"/>
      <c r="K8" s="462"/>
      <c r="L8" s="462"/>
      <c r="M8" s="462"/>
      <c r="N8" s="462"/>
      <c r="O8" s="463"/>
      <c r="P8" s="249"/>
      <c r="R8" s="244"/>
      <c r="S8" s="244"/>
      <c r="T8" s="244"/>
      <c r="U8" s="244"/>
    </row>
    <row r="9" spans="1:21" ht="13.5" thickBot="1">
      <c r="C9" s="464" t="s">
        <v>48</v>
      </c>
      <c r="D9" s="465" t="s">
        <v>218</v>
      </c>
      <c r="E9" s="466"/>
      <c r="F9" s="466"/>
      <c r="G9" s="466"/>
      <c r="H9" s="466"/>
      <c r="I9" s="467"/>
      <c r="J9" s="468"/>
      <c r="O9" s="469"/>
      <c r="P9" s="279"/>
      <c r="R9" s="244"/>
      <c r="S9" s="244"/>
      <c r="T9" s="244"/>
      <c r="U9" s="244"/>
    </row>
    <row r="10" spans="1:21" ht="13">
      <c r="C10" s="470" t="s">
        <v>49</v>
      </c>
      <c r="D10" s="471">
        <v>7210309</v>
      </c>
      <c r="E10" s="300" t="s">
        <v>50</v>
      </c>
      <c r="F10" s="469"/>
      <c r="G10" s="409"/>
      <c r="H10" s="409"/>
      <c r="I10" s="472">
        <f>+OKT.WS.F.BPU.ATRR.Projected!R100</f>
        <v>2019</v>
      </c>
      <c r="J10" s="468"/>
      <c r="K10" s="295" t="s">
        <v>51</v>
      </c>
      <c r="O10" s="279"/>
      <c r="P10" s="279"/>
      <c r="R10" s="244"/>
      <c r="S10" s="244"/>
      <c r="T10" s="244"/>
      <c r="U10" s="244"/>
    </row>
    <row r="11" spans="1:21" ht="12.5">
      <c r="C11" s="473" t="s">
        <v>52</v>
      </c>
      <c r="D11" s="474">
        <v>2013</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12</v>
      </c>
      <c r="E12" s="473" t="s">
        <v>55</v>
      </c>
      <c r="F12" s="409"/>
      <c r="G12" s="221"/>
      <c r="H12" s="221"/>
      <c r="I12" s="477">
        <f>OKT.WS.F.BPU.ATRR.Projected!$F$78</f>
        <v>0.11749102697326873</v>
      </c>
      <c r="J12" s="414"/>
      <c r="K12" s="145" t="s">
        <v>56</v>
      </c>
      <c r="O12" s="279"/>
      <c r="P12" s="279"/>
      <c r="R12" s="244"/>
      <c r="S12" s="244"/>
      <c r="T12" s="244"/>
      <c r="U12" s="244"/>
    </row>
    <row r="13" spans="1:21" ht="12.5">
      <c r="C13" s="473" t="s">
        <v>57</v>
      </c>
      <c r="D13" s="475">
        <f>+OKT.WS.F.BPU.ATRR.Projected!F$89</f>
        <v>41</v>
      </c>
      <c r="E13" s="473" t="s">
        <v>58</v>
      </c>
      <c r="F13" s="409"/>
      <c r="G13" s="221"/>
      <c r="H13" s="221"/>
      <c r="I13" s="477">
        <f>IF(G5="",I12,OKT.WS.F.BPU.ATRR.Projected!$F$77)</f>
        <v>0.11749102697326873</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175861.19512195123</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73" si="0">IF(D17=F16,"","IU")</f>
        <v>IU</v>
      </c>
      <c r="C17" s="496">
        <f>IF(D11= "","-",D11)</f>
        <v>2013</v>
      </c>
      <c r="D17" s="497">
        <v>7200873.8200000003</v>
      </c>
      <c r="E17" s="498">
        <v>0</v>
      </c>
      <c r="F17" s="497">
        <v>7200873.8200000003</v>
      </c>
      <c r="G17" s="498">
        <v>66024.408436961749</v>
      </c>
      <c r="H17" s="500">
        <v>66024.408436961749</v>
      </c>
      <c r="I17" s="585">
        <v>0</v>
      </c>
      <c r="J17" s="501"/>
      <c r="K17" s="502">
        <f t="shared" ref="K17:K22" si="1">G17</f>
        <v>66024.408436961749</v>
      </c>
      <c r="L17" s="503">
        <f t="shared" ref="L17:L22" si="2">IF(K17&lt;&gt;0,+G17-K17,0)</f>
        <v>0</v>
      </c>
      <c r="M17" s="502">
        <f t="shared" ref="M17:M22" si="3">H17</f>
        <v>66024.408436961749</v>
      </c>
      <c r="N17" s="504">
        <f>IF(M17&lt;&gt;0,+H17-M17,0)</f>
        <v>0</v>
      </c>
      <c r="O17" s="505">
        <f>+N17-L17</f>
        <v>0</v>
      </c>
      <c r="P17" s="279"/>
      <c r="R17" s="244"/>
      <c r="S17" s="244"/>
      <c r="T17" s="244"/>
      <c r="U17" s="244"/>
    </row>
    <row r="18" spans="2:21" ht="12.5">
      <c r="B18" s="145" t="str">
        <f t="shared" si="0"/>
        <v/>
      </c>
      <c r="C18" s="496">
        <f>IF(D11="","-",+C17+1)</f>
        <v>2014</v>
      </c>
      <c r="D18" s="506">
        <v>7200873.8200000003</v>
      </c>
      <c r="E18" s="499">
        <v>124569.42917795427</v>
      </c>
      <c r="F18" s="506">
        <v>7076304.3908220464</v>
      </c>
      <c r="G18" s="499">
        <v>903156.28905530274</v>
      </c>
      <c r="H18" s="500">
        <v>903156.28905530274</v>
      </c>
      <c r="I18" s="585">
        <v>0</v>
      </c>
      <c r="J18" s="501"/>
      <c r="K18" s="593">
        <f t="shared" si="1"/>
        <v>903156.28905530274</v>
      </c>
      <c r="L18" s="597">
        <f t="shared" si="2"/>
        <v>0</v>
      </c>
      <c r="M18" s="593">
        <f t="shared" si="3"/>
        <v>903156.28905530274</v>
      </c>
      <c r="N18" s="595">
        <f>IF(M18&lt;&gt;0,+H18-M18,0)</f>
        <v>0</v>
      </c>
      <c r="O18" s="597">
        <f>+N18-L18</f>
        <v>0</v>
      </c>
      <c r="P18" s="279"/>
      <c r="R18" s="244"/>
      <c r="S18" s="244"/>
      <c r="T18" s="244"/>
      <c r="U18" s="244"/>
    </row>
    <row r="19" spans="2:21" ht="12.5">
      <c r="B19" s="145" t="str">
        <f t="shared" si="0"/>
        <v/>
      </c>
      <c r="C19" s="496">
        <f>IF(D11="","-",+C18+1)</f>
        <v>2015</v>
      </c>
      <c r="D19" s="615">
        <v>7076304.3908220464</v>
      </c>
      <c r="E19" s="614">
        <v>124569.42917795427</v>
      </c>
      <c r="F19" s="615">
        <v>6951734.9616440926</v>
      </c>
      <c r="G19" s="614">
        <v>841053.03893843992</v>
      </c>
      <c r="H19" s="618">
        <v>841053.03893843992</v>
      </c>
      <c r="I19" s="585">
        <v>0</v>
      </c>
      <c r="J19" s="501"/>
      <c r="K19" s="593">
        <f t="shared" si="1"/>
        <v>841053.03893843992</v>
      </c>
      <c r="L19" s="597">
        <f t="shared" si="2"/>
        <v>0</v>
      </c>
      <c r="M19" s="593">
        <f t="shared" si="3"/>
        <v>841053.03893843992</v>
      </c>
      <c r="N19" s="595">
        <f>IF(M19&lt;&gt;0,+H19-M19,0)</f>
        <v>0</v>
      </c>
      <c r="O19" s="597">
        <f>+N19-L19</f>
        <v>0</v>
      </c>
      <c r="P19" s="279"/>
      <c r="R19" s="244"/>
      <c r="S19" s="244"/>
      <c r="T19" s="244"/>
      <c r="U19" s="244"/>
    </row>
    <row r="20" spans="2:21" ht="12.5">
      <c r="B20" s="145" t="str">
        <f t="shared" si="0"/>
        <v/>
      </c>
      <c r="C20" s="496">
        <f>IF(D11="","-",+C19+1)</f>
        <v>2016</v>
      </c>
      <c r="D20" s="615">
        <v>6951734.9616440926</v>
      </c>
      <c r="E20" s="614">
        <v>149630.22739831218</v>
      </c>
      <c r="F20" s="615">
        <v>6802104.7342457809</v>
      </c>
      <c r="G20" s="614">
        <v>883443.80340987013</v>
      </c>
      <c r="H20" s="618">
        <v>883443.80340987013</v>
      </c>
      <c r="I20" s="501">
        <f>H20-G20</f>
        <v>0</v>
      </c>
      <c r="J20" s="501"/>
      <c r="K20" s="593">
        <f t="shared" si="1"/>
        <v>883443.80340987013</v>
      </c>
      <c r="L20" s="597">
        <f t="shared" si="2"/>
        <v>0</v>
      </c>
      <c r="M20" s="593">
        <f t="shared" si="3"/>
        <v>883443.80340987013</v>
      </c>
      <c r="N20" s="505">
        <f t="shared" ref="N20:N73" si="4">IF(M20&lt;&gt;0,+H20-M20,0)</f>
        <v>0</v>
      </c>
      <c r="O20" s="505">
        <f t="shared" ref="O20:O73" si="5">+N20-L20</f>
        <v>0</v>
      </c>
      <c r="P20" s="279"/>
      <c r="R20" s="244"/>
      <c r="S20" s="244"/>
      <c r="T20" s="244"/>
      <c r="U20" s="244"/>
    </row>
    <row r="21" spans="2:21" ht="12.5">
      <c r="B21" s="145" t="str">
        <f t="shared" si="0"/>
        <v>IU</v>
      </c>
      <c r="C21" s="496">
        <f>IF(D11="","-",+C20+1)</f>
        <v>2017</v>
      </c>
      <c r="D21" s="615">
        <v>6811539.9142457796</v>
      </c>
      <c r="E21" s="614">
        <v>141768.94979225809</v>
      </c>
      <c r="F21" s="615">
        <v>6669770.9644535212</v>
      </c>
      <c r="G21" s="614">
        <v>882836.42245279858</v>
      </c>
      <c r="H21" s="618">
        <v>882836.42245279858</v>
      </c>
      <c r="I21" s="501">
        <f t="shared" ref="I21:I73" si="6">H21-G21</f>
        <v>0</v>
      </c>
      <c r="J21" s="501"/>
      <c r="K21" s="593">
        <f t="shared" si="1"/>
        <v>882836.42245279858</v>
      </c>
      <c r="L21" s="597">
        <f t="shared" si="2"/>
        <v>0</v>
      </c>
      <c r="M21" s="593">
        <f t="shared" si="3"/>
        <v>882836.42245279858</v>
      </c>
      <c r="N21" s="505">
        <f>IF(M21&lt;&gt;0,+H21-M21,0)</f>
        <v>0</v>
      </c>
      <c r="O21" s="505">
        <f>+N21-L21</f>
        <v>0</v>
      </c>
      <c r="P21" s="279"/>
      <c r="R21" s="244"/>
      <c r="S21" s="244"/>
      <c r="T21" s="244"/>
      <c r="U21" s="244"/>
    </row>
    <row r="22" spans="2:21" ht="12.5">
      <c r="B22" s="145" t="str">
        <f t="shared" si="0"/>
        <v/>
      </c>
      <c r="C22" s="496">
        <f>IF(D11="","-",+C21+1)</f>
        <v>2018</v>
      </c>
      <c r="D22" s="615">
        <v>6669770.9644535212</v>
      </c>
      <c r="E22" s="614">
        <v>176829.81385654397</v>
      </c>
      <c r="F22" s="615">
        <v>6492941.1505969772</v>
      </c>
      <c r="G22" s="614">
        <v>845651.23589628318</v>
      </c>
      <c r="H22" s="618">
        <v>845651.23589628318</v>
      </c>
      <c r="I22" s="501">
        <v>0</v>
      </c>
      <c r="J22" s="501"/>
      <c r="K22" s="593">
        <f t="shared" si="1"/>
        <v>845651.23589628318</v>
      </c>
      <c r="L22" s="597">
        <f t="shared" si="2"/>
        <v>0</v>
      </c>
      <c r="M22" s="593">
        <f t="shared" si="3"/>
        <v>845651.23589628318</v>
      </c>
      <c r="N22" s="505">
        <f>IF(M22&lt;&gt;0,+H22-M22,0)</f>
        <v>0</v>
      </c>
      <c r="O22" s="505">
        <f>+N22-L22</f>
        <v>0</v>
      </c>
      <c r="P22" s="279"/>
      <c r="R22" s="244"/>
      <c r="S22" s="244"/>
      <c r="T22" s="244"/>
      <c r="U22" s="244"/>
    </row>
    <row r="23" spans="2:21" ht="12.5">
      <c r="B23" s="145" t="str">
        <f t="shared" si="0"/>
        <v/>
      </c>
      <c r="C23" s="496">
        <f>IF(D11="","-",+C22+1)</f>
        <v>2019</v>
      </c>
      <c r="D23" s="615">
        <v>6492941.1505969772</v>
      </c>
      <c r="E23" s="614">
        <v>213849.4508925222</v>
      </c>
      <c r="F23" s="615">
        <v>6279091.6997044552</v>
      </c>
      <c r="G23" s="614">
        <v>877586.22744876624</v>
      </c>
      <c r="H23" s="618">
        <v>877586.22744876624</v>
      </c>
      <c r="I23" s="501">
        <f t="shared" si="6"/>
        <v>0</v>
      </c>
      <c r="J23" s="501"/>
      <c r="K23" s="593">
        <f t="shared" ref="K23" si="7">G23</f>
        <v>877586.22744876624</v>
      </c>
      <c r="L23" s="597">
        <f t="shared" ref="L23" si="8">IF(K23&lt;&gt;0,+G23-K23,0)</f>
        <v>0</v>
      </c>
      <c r="M23" s="593">
        <f t="shared" ref="M23" si="9">H23</f>
        <v>877586.22744876624</v>
      </c>
      <c r="N23" s="505">
        <f>IF(M23&lt;&gt;0,+H23-M23,0)</f>
        <v>0</v>
      </c>
      <c r="O23" s="505">
        <f>+N23-L23</f>
        <v>0</v>
      </c>
      <c r="P23" s="279"/>
      <c r="R23" s="244"/>
      <c r="S23" s="244"/>
      <c r="T23" s="244"/>
      <c r="U23" s="244"/>
    </row>
    <row r="24" spans="2:21" ht="12.5">
      <c r="B24" s="145" t="str">
        <f t="shared" si="0"/>
        <v/>
      </c>
      <c r="C24" s="496">
        <f>IF(D11="","-",+C23+1)</f>
        <v>2020</v>
      </c>
      <c r="D24" s="509">
        <f>IF(F23+SUM(E$17:E23)=D$10,F23,D$10-SUM(E$17:E23))</f>
        <v>6279091.6997044552</v>
      </c>
      <c r="E24" s="510">
        <f t="shared" ref="E24:E73" si="10">IF(+$I$14&lt;F23,$I$14,D24)</f>
        <v>175861.19512195123</v>
      </c>
      <c r="F24" s="511">
        <f t="shared" ref="F24:F73" si="11">+D24-E24</f>
        <v>6103230.5045825038</v>
      </c>
      <c r="G24" s="512">
        <f t="shared" ref="G24:G73" si="12">(D24+F24)/2*I$12+E24</f>
        <v>903267.07116974285</v>
      </c>
      <c r="H24" s="478">
        <f t="shared" ref="H24:H73" si="13">+(D24+F24)/2*I$13+E24</f>
        <v>903267.07116974285</v>
      </c>
      <c r="I24" s="501">
        <f t="shared" si="6"/>
        <v>0</v>
      </c>
      <c r="J24" s="501"/>
      <c r="K24" s="513"/>
      <c r="L24" s="505">
        <f t="shared" ref="L24:L73" si="14">IF(K24&lt;&gt;0,+G24-K24,0)</f>
        <v>0</v>
      </c>
      <c r="M24" s="513"/>
      <c r="N24" s="505">
        <f t="shared" si="4"/>
        <v>0</v>
      </c>
      <c r="O24" s="505">
        <f t="shared" si="5"/>
        <v>0</v>
      </c>
      <c r="P24" s="279"/>
      <c r="R24" s="244"/>
      <c r="S24" s="244"/>
      <c r="T24" s="244"/>
      <c r="U24" s="244"/>
    </row>
    <row r="25" spans="2:21" ht="12.5">
      <c r="B25" s="145" t="str">
        <f t="shared" si="0"/>
        <v/>
      </c>
      <c r="C25" s="496">
        <f>IF(D11="","-",+C24+1)</f>
        <v>2021</v>
      </c>
      <c r="D25" s="509">
        <f>IF(F24+SUM(E$17:E24)=D$10,F24,D$10-SUM(E$17:E24))</f>
        <v>6103230.5045825038</v>
      </c>
      <c r="E25" s="510">
        <f t="shared" si="10"/>
        <v>175861.19512195123</v>
      </c>
      <c r="F25" s="511">
        <f t="shared" si="11"/>
        <v>5927369.3094605524</v>
      </c>
      <c r="G25" s="512">
        <f t="shared" si="12"/>
        <v>882604.9587501185</v>
      </c>
      <c r="H25" s="478">
        <f t="shared" si="13"/>
        <v>882604.9587501185</v>
      </c>
      <c r="I25" s="501">
        <f t="shared" si="6"/>
        <v>0</v>
      </c>
      <c r="J25" s="501"/>
      <c r="K25" s="513"/>
      <c r="L25" s="505">
        <f t="shared" si="14"/>
        <v>0</v>
      </c>
      <c r="M25" s="513"/>
      <c r="N25" s="505">
        <f t="shared" si="4"/>
        <v>0</v>
      </c>
      <c r="O25" s="505">
        <f t="shared" si="5"/>
        <v>0</v>
      </c>
      <c r="P25" s="279"/>
      <c r="R25" s="244"/>
      <c r="S25" s="244"/>
      <c r="T25" s="244"/>
      <c r="U25" s="244"/>
    </row>
    <row r="26" spans="2:21" ht="12.5">
      <c r="B26" s="145" t="str">
        <f t="shared" si="0"/>
        <v/>
      </c>
      <c r="C26" s="496">
        <f>IF(D11="","-",+C25+1)</f>
        <v>2022</v>
      </c>
      <c r="D26" s="509">
        <f>IF(F25+SUM(E$17:E25)=D$10,F25,D$10-SUM(E$17:E25))</f>
        <v>5927369.3094605524</v>
      </c>
      <c r="E26" s="510">
        <f t="shared" si="10"/>
        <v>175861.19512195123</v>
      </c>
      <c r="F26" s="511">
        <f t="shared" si="11"/>
        <v>5751508.114338601</v>
      </c>
      <c r="G26" s="512">
        <f t="shared" si="12"/>
        <v>861942.84633049392</v>
      </c>
      <c r="H26" s="478">
        <f t="shared" si="13"/>
        <v>861942.84633049392</v>
      </c>
      <c r="I26" s="501">
        <f t="shared" si="6"/>
        <v>0</v>
      </c>
      <c r="J26" s="501"/>
      <c r="K26" s="513"/>
      <c r="L26" s="505">
        <f t="shared" si="14"/>
        <v>0</v>
      </c>
      <c r="M26" s="513"/>
      <c r="N26" s="505">
        <f t="shared" si="4"/>
        <v>0</v>
      </c>
      <c r="O26" s="505">
        <f t="shared" si="5"/>
        <v>0</v>
      </c>
      <c r="P26" s="279"/>
      <c r="R26" s="244"/>
      <c r="S26" s="244"/>
      <c r="T26" s="244"/>
      <c r="U26" s="244"/>
    </row>
    <row r="27" spans="2:21" ht="12.5">
      <c r="B27" s="145" t="str">
        <f t="shared" si="0"/>
        <v/>
      </c>
      <c r="C27" s="496">
        <f>IF(D11="","-",+C26+1)</f>
        <v>2023</v>
      </c>
      <c r="D27" s="509">
        <f>IF(F26+SUM(E$17:E26)=D$10,F26,D$10-SUM(E$17:E26))</f>
        <v>5751508.114338601</v>
      </c>
      <c r="E27" s="510">
        <f t="shared" si="10"/>
        <v>175861.19512195123</v>
      </c>
      <c r="F27" s="511">
        <f t="shared" si="11"/>
        <v>5575646.9192166496</v>
      </c>
      <c r="G27" s="512">
        <f t="shared" si="12"/>
        <v>841280.73391086957</v>
      </c>
      <c r="H27" s="478">
        <f t="shared" si="13"/>
        <v>841280.73391086957</v>
      </c>
      <c r="I27" s="501">
        <f t="shared" si="6"/>
        <v>0</v>
      </c>
      <c r="J27" s="501"/>
      <c r="K27" s="513"/>
      <c r="L27" s="505">
        <f t="shared" si="14"/>
        <v>0</v>
      </c>
      <c r="M27" s="513"/>
      <c r="N27" s="505">
        <f t="shared" si="4"/>
        <v>0</v>
      </c>
      <c r="O27" s="505">
        <f t="shared" si="5"/>
        <v>0</v>
      </c>
      <c r="P27" s="279"/>
      <c r="R27" s="244"/>
      <c r="S27" s="244"/>
      <c r="T27" s="244"/>
      <c r="U27" s="244"/>
    </row>
    <row r="28" spans="2:21" ht="12.5">
      <c r="B28" s="145" t="str">
        <f t="shared" si="0"/>
        <v/>
      </c>
      <c r="C28" s="496">
        <f>IF(D11="","-",+C27+1)</f>
        <v>2024</v>
      </c>
      <c r="D28" s="509">
        <f>IF(F27+SUM(E$17:E27)=D$10,F27,D$10-SUM(E$17:E27))</f>
        <v>5575646.9192166496</v>
      </c>
      <c r="E28" s="510">
        <f t="shared" si="10"/>
        <v>175861.19512195123</v>
      </c>
      <c r="F28" s="511">
        <f t="shared" si="11"/>
        <v>5399785.7240946982</v>
      </c>
      <c r="G28" s="512">
        <f t="shared" si="12"/>
        <v>820618.62149124499</v>
      </c>
      <c r="H28" s="478">
        <f t="shared" si="13"/>
        <v>820618.62149124499</v>
      </c>
      <c r="I28" s="501">
        <f t="shared" si="6"/>
        <v>0</v>
      </c>
      <c r="J28" s="501"/>
      <c r="K28" s="513"/>
      <c r="L28" s="505">
        <f t="shared" si="14"/>
        <v>0</v>
      </c>
      <c r="M28" s="513"/>
      <c r="N28" s="505">
        <f t="shared" si="4"/>
        <v>0</v>
      </c>
      <c r="O28" s="505">
        <f t="shared" si="5"/>
        <v>0</v>
      </c>
      <c r="P28" s="279"/>
      <c r="R28" s="244"/>
      <c r="S28" s="244"/>
      <c r="T28" s="244"/>
      <c r="U28" s="244"/>
    </row>
    <row r="29" spans="2:21" ht="12.5">
      <c r="B29" s="145" t="str">
        <f t="shared" si="0"/>
        <v/>
      </c>
      <c r="C29" s="496">
        <f>IF(D11="","-",+C28+1)</f>
        <v>2025</v>
      </c>
      <c r="D29" s="509">
        <f>IF(F28+SUM(E$17:E28)=D$10,F28,D$10-SUM(E$17:E28))</f>
        <v>5399785.7240946982</v>
      </c>
      <c r="E29" s="510">
        <f t="shared" si="10"/>
        <v>175861.19512195123</v>
      </c>
      <c r="F29" s="511">
        <f t="shared" si="11"/>
        <v>5223924.5289727468</v>
      </c>
      <c r="G29" s="512">
        <f t="shared" si="12"/>
        <v>799956.50907162065</v>
      </c>
      <c r="H29" s="478">
        <f t="shared" si="13"/>
        <v>799956.50907162065</v>
      </c>
      <c r="I29" s="501">
        <f t="shared" si="6"/>
        <v>0</v>
      </c>
      <c r="J29" s="501"/>
      <c r="K29" s="513"/>
      <c r="L29" s="505">
        <f t="shared" si="14"/>
        <v>0</v>
      </c>
      <c r="M29" s="513"/>
      <c r="N29" s="505">
        <f t="shared" si="4"/>
        <v>0</v>
      </c>
      <c r="O29" s="505">
        <f t="shared" si="5"/>
        <v>0</v>
      </c>
      <c r="P29" s="279"/>
      <c r="R29" s="244"/>
      <c r="S29" s="244"/>
      <c r="T29" s="244"/>
      <c r="U29" s="244"/>
    </row>
    <row r="30" spans="2:21" ht="12.5">
      <c r="B30" s="145" t="str">
        <f t="shared" si="0"/>
        <v/>
      </c>
      <c r="C30" s="496">
        <f>IF(D11="","-",+C29+1)</f>
        <v>2026</v>
      </c>
      <c r="D30" s="509">
        <f>IF(F29+SUM(E$17:E29)=D$10,F29,D$10-SUM(E$17:E29))</f>
        <v>5223924.5289727468</v>
      </c>
      <c r="E30" s="510">
        <f t="shared" si="10"/>
        <v>175861.19512195123</v>
      </c>
      <c r="F30" s="511">
        <f t="shared" si="11"/>
        <v>5048063.3338507954</v>
      </c>
      <c r="G30" s="512">
        <f t="shared" si="12"/>
        <v>779294.39665199607</v>
      </c>
      <c r="H30" s="478">
        <f t="shared" si="13"/>
        <v>779294.39665199607</v>
      </c>
      <c r="I30" s="501">
        <f t="shared" si="6"/>
        <v>0</v>
      </c>
      <c r="J30" s="501"/>
      <c r="K30" s="513"/>
      <c r="L30" s="505">
        <f t="shared" si="14"/>
        <v>0</v>
      </c>
      <c r="M30" s="513"/>
      <c r="N30" s="505">
        <f t="shared" si="4"/>
        <v>0</v>
      </c>
      <c r="O30" s="505">
        <f t="shared" si="5"/>
        <v>0</v>
      </c>
      <c r="P30" s="279"/>
      <c r="R30" s="244"/>
      <c r="S30" s="244"/>
      <c r="T30" s="244"/>
      <c r="U30" s="244"/>
    </row>
    <row r="31" spans="2:21" ht="12.5">
      <c r="B31" s="145" t="str">
        <f t="shared" si="0"/>
        <v/>
      </c>
      <c r="C31" s="496">
        <f>IF(D11="","-",+C30+1)</f>
        <v>2027</v>
      </c>
      <c r="D31" s="509">
        <f>IF(F30+SUM(E$17:E30)=D$10,F30,D$10-SUM(E$17:E30))</f>
        <v>5048063.3338507954</v>
      </c>
      <c r="E31" s="510">
        <f t="shared" si="10"/>
        <v>175861.19512195123</v>
      </c>
      <c r="F31" s="511">
        <f t="shared" si="11"/>
        <v>4872202.138728844</v>
      </c>
      <c r="G31" s="512">
        <f t="shared" si="12"/>
        <v>758632.28423237172</v>
      </c>
      <c r="H31" s="478">
        <f t="shared" si="13"/>
        <v>758632.28423237172</v>
      </c>
      <c r="I31" s="501">
        <f t="shared" si="6"/>
        <v>0</v>
      </c>
      <c r="J31" s="501"/>
      <c r="K31" s="513"/>
      <c r="L31" s="505">
        <f t="shared" si="14"/>
        <v>0</v>
      </c>
      <c r="M31" s="513"/>
      <c r="N31" s="505">
        <f t="shared" si="4"/>
        <v>0</v>
      </c>
      <c r="O31" s="505">
        <f t="shared" si="5"/>
        <v>0</v>
      </c>
      <c r="P31" s="279"/>
      <c r="Q31" s="221"/>
      <c r="R31" s="279"/>
      <c r="S31" s="279"/>
      <c r="T31" s="279"/>
      <c r="U31" s="244"/>
    </row>
    <row r="32" spans="2:21" ht="12.5">
      <c r="B32" s="145" t="str">
        <f t="shared" si="0"/>
        <v/>
      </c>
      <c r="C32" s="496">
        <f>IF(D12="","-",+C31+1)</f>
        <v>2028</v>
      </c>
      <c r="D32" s="509">
        <f>IF(F31+SUM(E$17:E31)=D$10,F31,D$10-SUM(E$17:E31))</f>
        <v>4872202.138728844</v>
      </c>
      <c r="E32" s="510">
        <f>IF(+$I$14&lt;F31,$I$14,D32)</f>
        <v>175861.19512195123</v>
      </c>
      <c r="F32" s="511">
        <f>+D32-E32</f>
        <v>4696340.9436068926</v>
      </c>
      <c r="G32" s="512">
        <f t="shared" si="12"/>
        <v>737970.17181274714</v>
      </c>
      <c r="H32" s="478">
        <f t="shared" si="13"/>
        <v>737970.17181274714</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0"/>
        <v/>
      </c>
      <c r="C33" s="496">
        <f>IF(D13="","-",+C32+1)</f>
        <v>2029</v>
      </c>
      <c r="D33" s="509">
        <f>IF(F32+SUM(E$17:E32)=D$10,F32,D$10-SUM(E$17:E32))</f>
        <v>4696340.9436068926</v>
      </c>
      <c r="E33" s="510">
        <f>IF(+$I$14&lt;F32,$I$14,D33)</f>
        <v>175861.19512195123</v>
      </c>
      <c r="F33" s="511">
        <f>+D33-E33</f>
        <v>4520479.7484849412</v>
      </c>
      <c r="G33" s="512">
        <f t="shared" si="12"/>
        <v>717308.05939312279</v>
      </c>
      <c r="H33" s="478">
        <f t="shared" si="13"/>
        <v>717308.05939312279</v>
      </c>
      <c r="I33" s="501">
        <f>H33-G33</f>
        <v>0</v>
      </c>
      <c r="J33" s="501"/>
      <c r="K33" s="513"/>
      <c r="L33" s="505">
        <f>IF(K33&lt;&gt;0,+G33-K33,0)</f>
        <v>0</v>
      </c>
      <c r="M33" s="513"/>
      <c r="N33" s="505">
        <f>IF(M33&lt;&gt;0,+H33-M33,0)</f>
        <v>0</v>
      </c>
      <c r="O33" s="505">
        <f>+N33-L33</f>
        <v>0</v>
      </c>
      <c r="P33" s="279"/>
      <c r="R33" s="244"/>
      <c r="S33" s="244"/>
      <c r="T33" s="244"/>
      <c r="U33" s="244"/>
    </row>
    <row r="34" spans="2:21" ht="12.5">
      <c r="B34" s="145" t="str">
        <f t="shared" si="0"/>
        <v/>
      </c>
      <c r="C34" s="496">
        <f>IF(D14="","-",+C33+1)</f>
        <v>2030</v>
      </c>
      <c r="D34" s="515">
        <f>IF(F33+SUM(E$17:E33)=D$10,F33,D$10-SUM(E$17:E33))</f>
        <v>4520479.7484849412</v>
      </c>
      <c r="E34" s="516">
        <f t="shared" si="10"/>
        <v>175861.19512195123</v>
      </c>
      <c r="F34" s="517">
        <f t="shared" si="11"/>
        <v>4344618.5533629898</v>
      </c>
      <c r="G34" s="512">
        <f t="shared" si="12"/>
        <v>696645.94697349821</v>
      </c>
      <c r="H34" s="478">
        <f t="shared" si="13"/>
        <v>696645.94697349821</v>
      </c>
      <c r="I34" s="520">
        <f t="shared" si="6"/>
        <v>0</v>
      </c>
      <c r="J34" s="520"/>
      <c r="K34" s="521"/>
      <c r="L34" s="522">
        <f t="shared" si="14"/>
        <v>0</v>
      </c>
      <c r="M34" s="521"/>
      <c r="N34" s="522">
        <f t="shared" si="4"/>
        <v>0</v>
      </c>
      <c r="O34" s="522">
        <f t="shared" si="5"/>
        <v>0</v>
      </c>
      <c r="P34" s="523"/>
      <c r="Q34" s="217"/>
      <c r="R34" s="523"/>
      <c r="S34" s="523"/>
      <c r="T34" s="523"/>
      <c r="U34" s="244"/>
    </row>
    <row r="35" spans="2:21" ht="12.5">
      <c r="B35" s="145" t="str">
        <f t="shared" si="0"/>
        <v/>
      </c>
      <c r="C35" s="496">
        <f>IF(D11="","-",+C34+1)</f>
        <v>2031</v>
      </c>
      <c r="D35" s="509">
        <f>IF(F34+SUM(E$17:E34)=D$10,F34,D$10-SUM(E$17:E34))</f>
        <v>4344618.5533629898</v>
      </c>
      <c r="E35" s="510">
        <f t="shared" si="10"/>
        <v>175861.19512195123</v>
      </c>
      <c r="F35" s="511">
        <f t="shared" si="11"/>
        <v>4168757.3582410384</v>
      </c>
      <c r="G35" s="512">
        <f t="shared" si="12"/>
        <v>675983.83455387386</v>
      </c>
      <c r="H35" s="478">
        <f t="shared" si="13"/>
        <v>675983.83455387386</v>
      </c>
      <c r="I35" s="501">
        <f t="shared" si="6"/>
        <v>0</v>
      </c>
      <c r="J35" s="501"/>
      <c r="K35" s="513"/>
      <c r="L35" s="505">
        <f t="shared" si="14"/>
        <v>0</v>
      </c>
      <c r="M35" s="513"/>
      <c r="N35" s="505">
        <f t="shared" si="4"/>
        <v>0</v>
      </c>
      <c r="O35" s="505">
        <f t="shared" si="5"/>
        <v>0</v>
      </c>
      <c r="P35" s="279"/>
      <c r="R35" s="244"/>
      <c r="S35" s="244"/>
      <c r="T35" s="244"/>
      <c r="U35" s="244"/>
    </row>
    <row r="36" spans="2:21" ht="12.5">
      <c r="B36" s="145" t="str">
        <f t="shared" si="0"/>
        <v/>
      </c>
      <c r="C36" s="496">
        <f>IF(D11="","-",+C35+1)</f>
        <v>2032</v>
      </c>
      <c r="D36" s="509">
        <f>IF(F35+SUM(E$17:E35)=D$10,F35,D$10-SUM(E$17:E35))</f>
        <v>4168757.3582410384</v>
      </c>
      <c r="E36" s="510">
        <f t="shared" si="10"/>
        <v>175861.19512195123</v>
      </c>
      <c r="F36" s="511">
        <f t="shared" si="11"/>
        <v>3992896.163119087</v>
      </c>
      <c r="G36" s="512">
        <f t="shared" si="12"/>
        <v>655321.72213424928</v>
      </c>
      <c r="H36" s="478">
        <f t="shared" si="13"/>
        <v>655321.72213424928</v>
      </c>
      <c r="I36" s="501">
        <f t="shared" si="6"/>
        <v>0</v>
      </c>
      <c r="J36" s="501"/>
      <c r="K36" s="513"/>
      <c r="L36" s="505">
        <f t="shared" si="14"/>
        <v>0</v>
      </c>
      <c r="M36" s="513"/>
      <c r="N36" s="505">
        <f t="shared" si="4"/>
        <v>0</v>
      </c>
      <c r="O36" s="505">
        <f t="shared" si="5"/>
        <v>0</v>
      </c>
      <c r="P36" s="279"/>
      <c r="R36" s="244"/>
      <c r="S36" s="244"/>
      <c r="T36" s="244"/>
      <c r="U36" s="244"/>
    </row>
    <row r="37" spans="2:21" ht="12.5">
      <c r="B37" s="145" t="str">
        <f t="shared" si="0"/>
        <v/>
      </c>
      <c r="C37" s="496">
        <f>IF(D11="","-",+C36+1)</f>
        <v>2033</v>
      </c>
      <c r="D37" s="509">
        <f>IF(F36+SUM(E$17:E36)=D$10,F36,D$10-SUM(E$17:E36))</f>
        <v>3992896.163119087</v>
      </c>
      <c r="E37" s="510">
        <f t="shared" si="10"/>
        <v>175861.19512195123</v>
      </c>
      <c r="F37" s="511">
        <f t="shared" si="11"/>
        <v>3817034.9679971356</v>
      </c>
      <c r="G37" s="512">
        <f t="shared" si="12"/>
        <v>634659.60971462494</v>
      </c>
      <c r="H37" s="478">
        <f t="shared" si="13"/>
        <v>634659.60971462494</v>
      </c>
      <c r="I37" s="501">
        <f t="shared" si="6"/>
        <v>0</v>
      </c>
      <c r="J37" s="501"/>
      <c r="K37" s="513"/>
      <c r="L37" s="505">
        <f t="shared" si="14"/>
        <v>0</v>
      </c>
      <c r="M37" s="513"/>
      <c r="N37" s="505">
        <f t="shared" si="4"/>
        <v>0</v>
      </c>
      <c r="O37" s="505">
        <f t="shared" si="5"/>
        <v>0</v>
      </c>
      <c r="P37" s="279"/>
      <c r="R37" s="244"/>
      <c r="S37" s="244"/>
      <c r="T37" s="244"/>
      <c r="U37" s="244"/>
    </row>
    <row r="38" spans="2:21" ht="12.5">
      <c r="B38" s="145" t="str">
        <f t="shared" si="0"/>
        <v/>
      </c>
      <c r="C38" s="496">
        <f>IF(D11="","-",+C37+1)</f>
        <v>2034</v>
      </c>
      <c r="D38" s="509">
        <f>IF(F37+SUM(E$17:E37)=D$10,F37,D$10-SUM(E$17:E37))</f>
        <v>3817034.9679971356</v>
      </c>
      <c r="E38" s="510">
        <f t="shared" si="10"/>
        <v>175861.19512195123</v>
      </c>
      <c r="F38" s="511">
        <f t="shared" si="11"/>
        <v>3641173.7728751842</v>
      </c>
      <c r="G38" s="512">
        <f t="shared" si="12"/>
        <v>613997.49729500036</v>
      </c>
      <c r="H38" s="478">
        <f t="shared" si="13"/>
        <v>613997.49729500036</v>
      </c>
      <c r="I38" s="501">
        <f t="shared" si="6"/>
        <v>0</v>
      </c>
      <c r="J38" s="501"/>
      <c r="K38" s="513"/>
      <c r="L38" s="505">
        <f t="shared" si="14"/>
        <v>0</v>
      </c>
      <c r="M38" s="513"/>
      <c r="N38" s="505">
        <f t="shared" si="4"/>
        <v>0</v>
      </c>
      <c r="O38" s="505">
        <f t="shared" si="5"/>
        <v>0</v>
      </c>
      <c r="P38" s="279"/>
      <c r="R38" s="244"/>
      <c r="S38" s="244"/>
      <c r="T38" s="244"/>
      <c r="U38" s="244"/>
    </row>
    <row r="39" spans="2:21" ht="12.5">
      <c r="B39" s="145" t="str">
        <f t="shared" si="0"/>
        <v/>
      </c>
      <c r="C39" s="496">
        <f>IF(D11="","-",+C38+1)</f>
        <v>2035</v>
      </c>
      <c r="D39" s="509">
        <f>IF(F38+SUM(E$17:E38)=D$10,F38,D$10-SUM(E$17:E38))</f>
        <v>3641173.7728751842</v>
      </c>
      <c r="E39" s="510">
        <f t="shared" si="10"/>
        <v>175861.19512195123</v>
      </c>
      <c r="F39" s="511">
        <f t="shared" si="11"/>
        <v>3465312.5777532328</v>
      </c>
      <c r="G39" s="512">
        <f t="shared" si="12"/>
        <v>593335.38487537589</v>
      </c>
      <c r="H39" s="478">
        <f t="shared" si="13"/>
        <v>593335.38487537589</v>
      </c>
      <c r="I39" s="501">
        <f t="shared" si="6"/>
        <v>0</v>
      </c>
      <c r="J39" s="501"/>
      <c r="K39" s="513"/>
      <c r="L39" s="505">
        <f t="shared" si="14"/>
        <v>0</v>
      </c>
      <c r="M39" s="513"/>
      <c r="N39" s="505">
        <f t="shared" si="4"/>
        <v>0</v>
      </c>
      <c r="O39" s="505">
        <f t="shared" si="5"/>
        <v>0</v>
      </c>
      <c r="P39" s="279"/>
      <c r="R39" s="244"/>
      <c r="S39" s="244"/>
      <c r="T39" s="244"/>
      <c r="U39" s="244"/>
    </row>
    <row r="40" spans="2:21" ht="12.5">
      <c r="B40" s="145" t="str">
        <f t="shared" si="0"/>
        <v/>
      </c>
      <c r="C40" s="496">
        <f>IF(D11="","-",+C39+1)</f>
        <v>2036</v>
      </c>
      <c r="D40" s="509">
        <f>IF(F39+SUM(E$17:E39)=D$10,F39,D$10-SUM(E$17:E39))</f>
        <v>3465312.5777532328</v>
      </c>
      <c r="E40" s="510">
        <f t="shared" si="10"/>
        <v>175861.19512195123</v>
      </c>
      <c r="F40" s="511">
        <f t="shared" si="11"/>
        <v>3289451.3826312814</v>
      </c>
      <c r="G40" s="512">
        <f t="shared" si="12"/>
        <v>572673.27245575143</v>
      </c>
      <c r="H40" s="478">
        <f t="shared" si="13"/>
        <v>572673.27245575143</v>
      </c>
      <c r="I40" s="501">
        <f t="shared" si="6"/>
        <v>0</v>
      </c>
      <c r="J40" s="501"/>
      <c r="K40" s="513"/>
      <c r="L40" s="505">
        <f t="shared" si="14"/>
        <v>0</v>
      </c>
      <c r="M40" s="513"/>
      <c r="N40" s="505">
        <f t="shared" si="4"/>
        <v>0</v>
      </c>
      <c r="O40" s="505">
        <f t="shared" si="5"/>
        <v>0</v>
      </c>
      <c r="P40" s="279"/>
      <c r="R40" s="244"/>
      <c r="S40" s="244"/>
      <c r="T40" s="244"/>
      <c r="U40" s="244"/>
    </row>
    <row r="41" spans="2:21" ht="12.5">
      <c r="B41" s="145" t="str">
        <f t="shared" si="0"/>
        <v/>
      </c>
      <c r="C41" s="496">
        <f>IF(D12="","-",+C40+1)</f>
        <v>2037</v>
      </c>
      <c r="D41" s="509">
        <f>IF(F40+SUM(E$17:E40)=D$10,F40,D$10-SUM(E$17:E40))</f>
        <v>3289451.3826312814</v>
      </c>
      <c r="E41" s="510">
        <f t="shared" si="10"/>
        <v>175861.19512195123</v>
      </c>
      <c r="F41" s="511">
        <f t="shared" si="11"/>
        <v>3113590.18750933</v>
      </c>
      <c r="G41" s="512">
        <f t="shared" si="12"/>
        <v>552011.16003612697</v>
      </c>
      <c r="H41" s="478">
        <f t="shared" si="13"/>
        <v>552011.16003612697</v>
      </c>
      <c r="I41" s="501">
        <f t="shared" si="6"/>
        <v>0</v>
      </c>
      <c r="J41" s="501"/>
      <c r="K41" s="513"/>
      <c r="L41" s="505">
        <f t="shared" si="14"/>
        <v>0</v>
      </c>
      <c r="M41" s="513"/>
      <c r="N41" s="505">
        <f t="shared" si="4"/>
        <v>0</v>
      </c>
      <c r="O41" s="505">
        <f t="shared" si="5"/>
        <v>0</v>
      </c>
      <c r="P41" s="279"/>
      <c r="R41" s="244"/>
      <c r="S41" s="244"/>
      <c r="T41" s="244"/>
      <c r="U41" s="244"/>
    </row>
    <row r="42" spans="2:21" ht="12.5">
      <c r="B42" s="145" t="str">
        <f t="shared" si="0"/>
        <v/>
      </c>
      <c r="C42" s="496">
        <f>IF(D13="","-",+C41+1)</f>
        <v>2038</v>
      </c>
      <c r="D42" s="509">
        <f>IF(F41+SUM(E$17:E41)=D$10,F41,D$10-SUM(E$17:E41))</f>
        <v>3113590.18750933</v>
      </c>
      <c r="E42" s="510">
        <f t="shared" si="10"/>
        <v>175861.19512195123</v>
      </c>
      <c r="F42" s="511">
        <f t="shared" si="11"/>
        <v>2937728.9923873786</v>
      </c>
      <c r="G42" s="512">
        <f t="shared" si="12"/>
        <v>531349.0476165025</v>
      </c>
      <c r="H42" s="478">
        <f t="shared" si="13"/>
        <v>531349.0476165025</v>
      </c>
      <c r="I42" s="501">
        <f t="shared" si="6"/>
        <v>0</v>
      </c>
      <c r="J42" s="501"/>
      <c r="K42" s="513"/>
      <c r="L42" s="505">
        <f t="shared" si="14"/>
        <v>0</v>
      </c>
      <c r="M42" s="513"/>
      <c r="N42" s="505">
        <f t="shared" si="4"/>
        <v>0</v>
      </c>
      <c r="O42" s="505">
        <f t="shared" si="5"/>
        <v>0</v>
      </c>
      <c r="P42" s="279"/>
      <c r="R42" s="244"/>
      <c r="S42" s="244"/>
      <c r="T42" s="244"/>
      <c r="U42" s="244"/>
    </row>
    <row r="43" spans="2:21" ht="12.5">
      <c r="B43" s="145" t="str">
        <f t="shared" si="0"/>
        <v/>
      </c>
      <c r="C43" s="496">
        <f>IF(D11="","-",+C42+1)</f>
        <v>2039</v>
      </c>
      <c r="D43" s="509">
        <f>IF(F42+SUM(E$17:E42)=D$10,F42,D$10-SUM(E$17:E42))</f>
        <v>2937728.9923873786</v>
      </c>
      <c r="E43" s="510">
        <f t="shared" si="10"/>
        <v>175861.19512195123</v>
      </c>
      <c r="F43" s="511">
        <f t="shared" si="11"/>
        <v>2761867.7972654272</v>
      </c>
      <c r="G43" s="512">
        <f t="shared" si="12"/>
        <v>510686.93519687804</v>
      </c>
      <c r="H43" s="478">
        <f t="shared" si="13"/>
        <v>510686.93519687804</v>
      </c>
      <c r="I43" s="501">
        <f t="shared" si="6"/>
        <v>0</v>
      </c>
      <c r="J43" s="501"/>
      <c r="K43" s="513"/>
      <c r="L43" s="505">
        <f t="shared" si="14"/>
        <v>0</v>
      </c>
      <c r="M43" s="513"/>
      <c r="N43" s="505">
        <f t="shared" si="4"/>
        <v>0</v>
      </c>
      <c r="O43" s="505">
        <f t="shared" si="5"/>
        <v>0</v>
      </c>
      <c r="P43" s="279"/>
      <c r="R43" s="244"/>
      <c r="S43" s="244"/>
      <c r="T43" s="244"/>
      <c r="U43" s="244"/>
    </row>
    <row r="44" spans="2:21" ht="12.5">
      <c r="B44" s="145" t="str">
        <f t="shared" si="0"/>
        <v/>
      </c>
      <c r="C44" s="496">
        <f>IF(D11="","-",+C43+1)</f>
        <v>2040</v>
      </c>
      <c r="D44" s="509">
        <f>IF(F43+SUM(E$17:E43)=D$10,F43,D$10-SUM(E$17:E43))</f>
        <v>2761867.7972654272</v>
      </c>
      <c r="E44" s="510">
        <f t="shared" si="10"/>
        <v>175861.19512195123</v>
      </c>
      <c r="F44" s="511">
        <f t="shared" si="11"/>
        <v>2586006.6021434758</v>
      </c>
      <c r="G44" s="512">
        <f t="shared" si="12"/>
        <v>490024.82277725358</v>
      </c>
      <c r="H44" s="478">
        <f t="shared" si="13"/>
        <v>490024.82277725358</v>
      </c>
      <c r="I44" s="501">
        <f t="shared" si="6"/>
        <v>0</v>
      </c>
      <c r="J44" s="501"/>
      <c r="K44" s="513"/>
      <c r="L44" s="505">
        <f t="shared" si="14"/>
        <v>0</v>
      </c>
      <c r="M44" s="513"/>
      <c r="N44" s="505">
        <f t="shared" si="4"/>
        <v>0</v>
      </c>
      <c r="O44" s="505">
        <f t="shared" si="5"/>
        <v>0</v>
      </c>
      <c r="P44" s="279"/>
      <c r="R44" s="244"/>
      <c r="S44" s="244"/>
      <c r="T44" s="244"/>
      <c r="U44" s="244"/>
    </row>
    <row r="45" spans="2:21" ht="12.5">
      <c r="B45" s="145" t="str">
        <f t="shared" si="0"/>
        <v/>
      </c>
      <c r="C45" s="496">
        <f>IF(D11="","-",+C44+1)</f>
        <v>2041</v>
      </c>
      <c r="D45" s="509">
        <f>IF(F44+SUM(E$17:E44)=D$10,F44,D$10-SUM(E$17:E44))</f>
        <v>2586006.6021434758</v>
      </c>
      <c r="E45" s="510">
        <f t="shared" si="10"/>
        <v>175861.19512195123</v>
      </c>
      <c r="F45" s="511">
        <f t="shared" si="11"/>
        <v>2410145.4070215244</v>
      </c>
      <c r="G45" s="512">
        <f t="shared" si="12"/>
        <v>469362.71035762911</v>
      </c>
      <c r="H45" s="478">
        <f t="shared" si="13"/>
        <v>469362.71035762911</v>
      </c>
      <c r="I45" s="501">
        <f t="shared" si="6"/>
        <v>0</v>
      </c>
      <c r="J45" s="501"/>
      <c r="K45" s="513"/>
      <c r="L45" s="505">
        <f t="shared" si="14"/>
        <v>0</v>
      </c>
      <c r="M45" s="513"/>
      <c r="N45" s="505">
        <f t="shared" si="4"/>
        <v>0</v>
      </c>
      <c r="O45" s="505">
        <f t="shared" si="5"/>
        <v>0</v>
      </c>
      <c r="P45" s="279"/>
      <c r="R45" s="244"/>
      <c r="S45" s="244"/>
      <c r="T45" s="244"/>
      <c r="U45" s="244"/>
    </row>
    <row r="46" spans="2:21" ht="12.5">
      <c r="B46" s="145" t="str">
        <f t="shared" si="0"/>
        <v/>
      </c>
      <c r="C46" s="496">
        <f>IF(D11="","-",+C45+1)</f>
        <v>2042</v>
      </c>
      <c r="D46" s="509">
        <f>IF(F45+SUM(E$17:E45)=D$10,F45,D$10-SUM(E$17:E45))</f>
        <v>2410145.4070215244</v>
      </c>
      <c r="E46" s="510">
        <f t="shared" si="10"/>
        <v>175861.19512195123</v>
      </c>
      <c r="F46" s="511">
        <f t="shared" si="11"/>
        <v>2234284.211899573</v>
      </c>
      <c r="G46" s="512">
        <f t="shared" si="12"/>
        <v>448700.59793800465</v>
      </c>
      <c r="H46" s="478">
        <f t="shared" si="13"/>
        <v>448700.59793800465</v>
      </c>
      <c r="I46" s="501">
        <f t="shared" si="6"/>
        <v>0</v>
      </c>
      <c r="J46" s="501"/>
      <c r="K46" s="513"/>
      <c r="L46" s="505">
        <f t="shared" si="14"/>
        <v>0</v>
      </c>
      <c r="M46" s="513"/>
      <c r="N46" s="505">
        <f t="shared" si="4"/>
        <v>0</v>
      </c>
      <c r="O46" s="505">
        <f t="shared" si="5"/>
        <v>0</v>
      </c>
      <c r="P46" s="279"/>
      <c r="R46" s="244"/>
      <c r="S46" s="244"/>
      <c r="T46" s="244"/>
      <c r="U46" s="244"/>
    </row>
    <row r="47" spans="2:21" ht="12.5">
      <c r="B47" s="145" t="str">
        <f t="shared" si="0"/>
        <v/>
      </c>
      <c r="C47" s="496">
        <f>IF(D11="","-",+C46+1)</f>
        <v>2043</v>
      </c>
      <c r="D47" s="509">
        <f>IF(F46+SUM(E$17:E46)=D$10,F46,D$10-SUM(E$17:E46))</f>
        <v>2234284.211899573</v>
      </c>
      <c r="E47" s="510">
        <f t="shared" si="10"/>
        <v>175861.19512195123</v>
      </c>
      <c r="F47" s="511">
        <f t="shared" si="11"/>
        <v>2058423.0167776218</v>
      </c>
      <c r="G47" s="512">
        <f t="shared" si="12"/>
        <v>428038.48551838018</v>
      </c>
      <c r="H47" s="478">
        <f t="shared" si="13"/>
        <v>428038.48551838018</v>
      </c>
      <c r="I47" s="501">
        <f t="shared" si="6"/>
        <v>0</v>
      </c>
      <c r="J47" s="501"/>
      <c r="K47" s="513"/>
      <c r="L47" s="505">
        <f t="shared" si="14"/>
        <v>0</v>
      </c>
      <c r="M47" s="513"/>
      <c r="N47" s="505">
        <f t="shared" si="4"/>
        <v>0</v>
      </c>
      <c r="O47" s="505">
        <f t="shared" si="5"/>
        <v>0</v>
      </c>
      <c r="P47" s="279"/>
      <c r="R47" s="244"/>
      <c r="S47" s="244"/>
      <c r="T47" s="244"/>
      <c r="U47" s="244"/>
    </row>
    <row r="48" spans="2:21" ht="12.5">
      <c r="B48" s="145" t="str">
        <f t="shared" si="0"/>
        <v/>
      </c>
      <c r="C48" s="496">
        <f>IF(D11="","-",+C47+1)</f>
        <v>2044</v>
      </c>
      <c r="D48" s="509">
        <f>IF(F47+SUM(E$17:E47)=D$10,F47,D$10-SUM(E$17:E47))</f>
        <v>2058423.0167776218</v>
      </c>
      <c r="E48" s="510">
        <f t="shared" si="10"/>
        <v>175861.19512195123</v>
      </c>
      <c r="F48" s="511">
        <f t="shared" si="11"/>
        <v>1882561.8216556706</v>
      </c>
      <c r="G48" s="512">
        <f t="shared" si="12"/>
        <v>407376.37309875578</v>
      </c>
      <c r="H48" s="478">
        <f t="shared" si="13"/>
        <v>407376.37309875578</v>
      </c>
      <c r="I48" s="501">
        <f t="shared" si="6"/>
        <v>0</v>
      </c>
      <c r="J48" s="501"/>
      <c r="K48" s="513"/>
      <c r="L48" s="505">
        <f t="shared" si="14"/>
        <v>0</v>
      </c>
      <c r="M48" s="513"/>
      <c r="N48" s="505">
        <f t="shared" si="4"/>
        <v>0</v>
      </c>
      <c r="O48" s="505">
        <f t="shared" si="5"/>
        <v>0</v>
      </c>
      <c r="P48" s="279"/>
      <c r="R48" s="244"/>
      <c r="S48" s="244"/>
      <c r="T48" s="244"/>
      <c r="U48" s="244"/>
    </row>
    <row r="49" spans="2:21" ht="12.5">
      <c r="B49" s="145" t="str">
        <f t="shared" si="0"/>
        <v/>
      </c>
      <c r="C49" s="496">
        <f>IF(D11="","-",+C48+1)</f>
        <v>2045</v>
      </c>
      <c r="D49" s="509">
        <f>IF(F48+SUM(E$17:E48)=D$10,F48,D$10-SUM(E$17:E48))</f>
        <v>1882561.8216556706</v>
      </c>
      <c r="E49" s="510">
        <f t="shared" si="10"/>
        <v>175861.19512195123</v>
      </c>
      <c r="F49" s="511">
        <f t="shared" si="11"/>
        <v>1706700.6265337195</v>
      </c>
      <c r="G49" s="512">
        <f t="shared" si="12"/>
        <v>386714.26067913132</v>
      </c>
      <c r="H49" s="478">
        <f t="shared" si="13"/>
        <v>386714.26067913132</v>
      </c>
      <c r="I49" s="501">
        <f t="shared" si="6"/>
        <v>0</v>
      </c>
      <c r="J49" s="501"/>
      <c r="K49" s="513"/>
      <c r="L49" s="505">
        <f t="shared" si="14"/>
        <v>0</v>
      </c>
      <c r="M49" s="513"/>
      <c r="N49" s="505">
        <f t="shared" si="4"/>
        <v>0</v>
      </c>
      <c r="O49" s="505">
        <f t="shared" si="5"/>
        <v>0</v>
      </c>
      <c r="P49" s="279"/>
      <c r="R49" s="244"/>
      <c r="S49" s="244"/>
      <c r="T49" s="244"/>
      <c r="U49" s="244"/>
    </row>
    <row r="50" spans="2:21" ht="12.5">
      <c r="B50" s="145" t="str">
        <f t="shared" si="0"/>
        <v/>
      </c>
      <c r="C50" s="496">
        <f>IF(D11="","-",+C49+1)</f>
        <v>2046</v>
      </c>
      <c r="D50" s="509">
        <f>IF(F49+SUM(E$17:E49)=D$10,F49,D$10-SUM(E$17:E49))</f>
        <v>1706700.6265337195</v>
      </c>
      <c r="E50" s="510">
        <f t="shared" si="10"/>
        <v>175861.19512195123</v>
      </c>
      <c r="F50" s="511">
        <f t="shared" si="11"/>
        <v>1530839.4314117683</v>
      </c>
      <c r="G50" s="512">
        <f t="shared" si="12"/>
        <v>366052.14825950691</v>
      </c>
      <c r="H50" s="478">
        <f t="shared" si="13"/>
        <v>366052.14825950691</v>
      </c>
      <c r="I50" s="501">
        <f t="shared" si="6"/>
        <v>0</v>
      </c>
      <c r="J50" s="501"/>
      <c r="K50" s="513"/>
      <c r="L50" s="505">
        <f t="shared" si="14"/>
        <v>0</v>
      </c>
      <c r="M50" s="513"/>
      <c r="N50" s="505">
        <f t="shared" si="4"/>
        <v>0</v>
      </c>
      <c r="O50" s="505">
        <f t="shared" si="5"/>
        <v>0</v>
      </c>
      <c r="P50" s="279"/>
      <c r="R50" s="244"/>
      <c r="S50" s="244"/>
      <c r="T50" s="244"/>
      <c r="U50" s="244"/>
    </row>
    <row r="51" spans="2:21" ht="12.5">
      <c r="B51" s="145" t="str">
        <f t="shared" si="0"/>
        <v/>
      </c>
      <c r="C51" s="496">
        <f>IF(D11="","-",+C50+1)</f>
        <v>2047</v>
      </c>
      <c r="D51" s="509">
        <f>IF(F50+SUM(E$17:E50)=D$10,F50,D$10-SUM(E$17:E50))</f>
        <v>1530839.4314117683</v>
      </c>
      <c r="E51" s="510">
        <f t="shared" si="10"/>
        <v>175861.19512195123</v>
      </c>
      <c r="F51" s="511">
        <f t="shared" si="11"/>
        <v>1354978.2362898171</v>
      </c>
      <c r="G51" s="512">
        <f t="shared" si="12"/>
        <v>345390.03583988245</v>
      </c>
      <c r="H51" s="478">
        <f t="shared" si="13"/>
        <v>345390.03583988245</v>
      </c>
      <c r="I51" s="501">
        <f t="shared" si="6"/>
        <v>0</v>
      </c>
      <c r="J51" s="501"/>
      <c r="K51" s="513"/>
      <c r="L51" s="505">
        <f t="shared" si="14"/>
        <v>0</v>
      </c>
      <c r="M51" s="513"/>
      <c r="N51" s="505">
        <f t="shared" si="4"/>
        <v>0</v>
      </c>
      <c r="O51" s="505">
        <f t="shared" si="5"/>
        <v>0</v>
      </c>
      <c r="P51" s="279"/>
      <c r="R51" s="244"/>
      <c r="S51" s="244"/>
      <c r="T51" s="244"/>
      <c r="U51" s="244"/>
    </row>
    <row r="52" spans="2:21" ht="12.5">
      <c r="B52" s="145" t="str">
        <f t="shared" si="0"/>
        <v/>
      </c>
      <c r="C52" s="496">
        <f>IF(D11="","-",+C51+1)</f>
        <v>2048</v>
      </c>
      <c r="D52" s="509">
        <f>IF(F51+SUM(E$17:E51)=D$10,F51,D$10-SUM(E$17:E51))</f>
        <v>1354978.2362898171</v>
      </c>
      <c r="E52" s="510">
        <f t="shared" si="10"/>
        <v>175861.19512195123</v>
      </c>
      <c r="F52" s="511">
        <f t="shared" si="11"/>
        <v>1179117.041167866</v>
      </c>
      <c r="G52" s="512">
        <f t="shared" si="12"/>
        <v>324727.92342025798</v>
      </c>
      <c r="H52" s="478">
        <f t="shared" si="13"/>
        <v>324727.92342025798</v>
      </c>
      <c r="I52" s="501">
        <f t="shared" si="6"/>
        <v>0</v>
      </c>
      <c r="J52" s="501"/>
      <c r="K52" s="513"/>
      <c r="L52" s="505">
        <f t="shared" si="14"/>
        <v>0</v>
      </c>
      <c r="M52" s="513"/>
      <c r="N52" s="505">
        <f t="shared" si="4"/>
        <v>0</v>
      </c>
      <c r="O52" s="505">
        <f t="shared" si="5"/>
        <v>0</v>
      </c>
      <c r="P52" s="279"/>
      <c r="R52" s="244"/>
      <c r="S52" s="244"/>
      <c r="T52" s="244"/>
      <c r="U52" s="244"/>
    </row>
    <row r="53" spans="2:21" ht="12.5">
      <c r="B53" s="145" t="str">
        <f t="shared" si="0"/>
        <v/>
      </c>
      <c r="C53" s="496">
        <f>IF(D11="","-",+C52+1)</f>
        <v>2049</v>
      </c>
      <c r="D53" s="509">
        <f>IF(F52+SUM(E$17:E52)=D$10,F52,D$10-SUM(E$17:E52))</f>
        <v>1179117.041167866</v>
      </c>
      <c r="E53" s="510">
        <f t="shared" si="10"/>
        <v>175861.19512195123</v>
      </c>
      <c r="F53" s="511">
        <f t="shared" si="11"/>
        <v>1003255.8460459148</v>
      </c>
      <c r="G53" s="512">
        <f t="shared" si="12"/>
        <v>304065.81100063352</v>
      </c>
      <c r="H53" s="478">
        <f t="shared" si="13"/>
        <v>304065.81100063352</v>
      </c>
      <c r="I53" s="501">
        <f t="shared" si="6"/>
        <v>0</v>
      </c>
      <c r="J53" s="501"/>
      <c r="K53" s="513"/>
      <c r="L53" s="505">
        <f t="shared" si="14"/>
        <v>0</v>
      </c>
      <c r="M53" s="513"/>
      <c r="N53" s="505">
        <f t="shared" si="4"/>
        <v>0</v>
      </c>
      <c r="O53" s="505">
        <f t="shared" si="5"/>
        <v>0</v>
      </c>
      <c r="P53" s="279"/>
      <c r="R53" s="244"/>
      <c r="S53" s="244"/>
      <c r="T53" s="244"/>
      <c r="U53" s="244"/>
    </row>
    <row r="54" spans="2:21" ht="12.5">
      <c r="B54" s="145" t="str">
        <f t="shared" si="0"/>
        <v/>
      </c>
      <c r="C54" s="496">
        <f>IF(D11="","-",+C53+1)</f>
        <v>2050</v>
      </c>
      <c r="D54" s="509">
        <f>IF(F53+SUM(E$17:E53)=D$10,F53,D$10-SUM(E$17:E53))</f>
        <v>1003255.8460459148</v>
      </c>
      <c r="E54" s="510">
        <f t="shared" si="10"/>
        <v>175861.19512195123</v>
      </c>
      <c r="F54" s="511">
        <f t="shared" si="11"/>
        <v>827394.65092396364</v>
      </c>
      <c r="G54" s="512">
        <f t="shared" si="12"/>
        <v>283403.69858100911</v>
      </c>
      <c r="H54" s="478">
        <f t="shared" si="13"/>
        <v>283403.69858100911</v>
      </c>
      <c r="I54" s="501">
        <f t="shared" si="6"/>
        <v>0</v>
      </c>
      <c r="J54" s="501"/>
      <c r="K54" s="513"/>
      <c r="L54" s="505">
        <f t="shared" si="14"/>
        <v>0</v>
      </c>
      <c r="M54" s="513"/>
      <c r="N54" s="505">
        <f t="shared" si="4"/>
        <v>0</v>
      </c>
      <c r="O54" s="505">
        <f t="shared" si="5"/>
        <v>0</v>
      </c>
      <c r="P54" s="279"/>
      <c r="R54" s="244"/>
      <c r="S54" s="244"/>
      <c r="T54" s="244"/>
      <c r="U54" s="244"/>
    </row>
    <row r="55" spans="2:21" ht="12.5">
      <c r="B55" s="145" t="str">
        <f t="shared" si="0"/>
        <v/>
      </c>
      <c r="C55" s="496">
        <f>IF(D11="","-",+C54+1)</f>
        <v>2051</v>
      </c>
      <c r="D55" s="509">
        <f>IF(F54+SUM(E$17:E54)=D$10,F54,D$10-SUM(E$17:E54))</f>
        <v>827394.65092396364</v>
      </c>
      <c r="E55" s="510">
        <f t="shared" si="10"/>
        <v>175861.19512195123</v>
      </c>
      <c r="F55" s="511">
        <f t="shared" si="11"/>
        <v>651533.45580201247</v>
      </c>
      <c r="G55" s="512">
        <f t="shared" si="12"/>
        <v>262741.58616138471</v>
      </c>
      <c r="H55" s="478">
        <f t="shared" si="13"/>
        <v>262741.58616138471</v>
      </c>
      <c r="I55" s="501">
        <f t="shared" si="6"/>
        <v>0</v>
      </c>
      <c r="J55" s="501"/>
      <c r="K55" s="513"/>
      <c r="L55" s="505">
        <f t="shared" si="14"/>
        <v>0</v>
      </c>
      <c r="M55" s="513"/>
      <c r="N55" s="505">
        <f t="shared" si="4"/>
        <v>0</v>
      </c>
      <c r="O55" s="505">
        <f t="shared" si="5"/>
        <v>0</v>
      </c>
      <c r="P55" s="279"/>
      <c r="R55" s="244"/>
      <c r="S55" s="244"/>
      <c r="T55" s="244"/>
      <c r="U55" s="244"/>
    </row>
    <row r="56" spans="2:21" ht="12.5">
      <c r="B56" s="145" t="str">
        <f t="shared" si="0"/>
        <v/>
      </c>
      <c r="C56" s="496">
        <f>IF(D11="","-",+C55+1)</f>
        <v>2052</v>
      </c>
      <c r="D56" s="509">
        <f>IF(F55+SUM(E$17:E55)=D$10,F55,D$10-SUM(E$17:E55))</f>
        <v>651533.45580201247</v>
      </c>
      <c r="E56" s="510">
        <f t="shared" si="10"/>
        <v>175861.19512195123</v>
      </c>
      <c r="F56" s="511">
        <f t="shared" si="11"/>
        <v>475672.26068006124</v>
      </c>
      <c r="G56" s="512">
        <f t="shared" si="12"/>
        <v>242079.47374176024</v>
      </c>
      <c r="H56" s="478">
        <f t="shared" si="13"/>
        <v>242079.47374176024</v>
      </c>
      <c r="I56" s="501">
        <f t="shared" si="6"/>
        <v>0</v>
      </c>
      <c r="J56" s="501"/>
      <c r="K56" s="513"/>
      <c r="L56" s="505">
        <f t="shared" si="14"/>
        <v>0</v>
      </c>
      <c r="M56" s="513"/>
      <c r="N56" s="505">
        <f t="shared" si="4"/>
        <v>0</v>
      </c>
      <c r="O56" s="505">
        <f t="shared" si="5"/>
        <v>0</v>
      </c>
      <c r="P56" s="279"/>
      <c r="R56" s="244"/>
      <c r="S56" s="244"/>
      <c r="T56" s="244"/>
      <c r="U56" s="244"/>
    </row>
    <row r="57" spans="2:21" ht="12.5">
      <c r="B57" s="145" t="str">
        <f t="shared" si="0"/>
        <v/>
      </c>
      <c r="C57" s="496">
        <f>IF(D11="","-",+C56+1)</f>
        <v>2053</v>
      </c>
      <c r="D57" s="509">
        <f>IF(F56+SUM(E$17:E56)=D$10,F56,D$10-SUM(E$17:E56))</f>
        <v>475672.26068006124</v>
      </c>
      <c r="E57" s="510">
        <f t="shared" si="10"/>
        <v>175861.19512195123</v>
      </c>
      <c r="F57" s="511">
        <f t="shared" si="11"/>
        <v>299811.06555811001</v>
      </c>
      <c r="G57" s="512">
        <f t="shared" si="12"/>
        <v>221417.36132213578</v>
      </c>
      <c r="H57" s="478">
        <f t="shared" si="13"/>
        <v>221417.36132213578</v>
      </c>
      <c r="I57" s="501">
        <f t="shared" si="6"/>
        <v>0</v>
      </c>
      <c r="J57" s="501"/>
      <c r="K57" s="513"/>
      <c r="L57" s="505">
        <f t="shared" si="14"/>
        <v>0</v>
      </c>
      <c r="M57" s="513"/>
      <c r="N57" s="505">
        <f t="shared" si="4"/>
        <v>0</v>
      </c>
      <c r="O57" s="505">
        <f t="shared" si="5"/>
        <v>0</v>
      </c>
      <c r="P57" s="279"/>
      <c r="R57" s="244"/>
      <c r="S57" s="244"/>
      <c r="T57" s="244"/>
      <c r="U57" s="244"/>
    </row>
    <row r="58" spans="2:21" ht="12.5">
      <c r="B58" s="145" t="str">
        <f t="shared" si="0"/>
        <v/>
      </c>
      <c r="C58" s="496">
        <f>IF(D11="","-",+C57+1)</f>
        <v>2054</v>
      </c>
      <c r="D58" s="509">
        <f>IF(F57+SUM(E$17:E57)=D$10,F57,D$10-SUM(E$17:E57))</f>
        <v>299811.06555811001</v>
      </c>
      <c r="E58" s="510">
        <f t="shared" si="10"/>
        <v>175861.19512195123</v>
      </c>
      <c r="F58" s="511">
        <f t="shared" si="11"/>
        <v>123949.87043615879</v>
      </c>
      <c r="G58" s="512">
        <f t="shared" si="12"/>
        <v>200755.24890251135</v>
      </c>
      <c r="H58" s="478">
        <f t="shared" si="13"/>
        <v>200755.24890251135</v>
      </c>
      <c r="I58" s="501">
        <f t="shared" si="6"/>
        <v>0</v>
      </c>
      <c r="J58" s="501"/>
      <c r="K58" s="513"/>
      <c r="L58" s="505">
        <f t="shared" si="14"/>
        <v>0</v>
      </c>
      <c r="M58" s="513"/>
      <c r="N58" s="505">
        <f t="shared" si="4"/>
        <v>0</v>
      </c>
      <c r="O58" s="505">
        <f t="shared" si="5"/>
        <v>0</v>
      </c>
      <c r="P58" s="279"/>
      <c r="R58" s="244"/>
      <c r="S58" s="244"/>
      <c r="T58" s="244"/>
      <c r="U58" s="244"/>
    </row>
    <row r="59" spans="2:21" ht="12.5">
      <c r="B59" s="145" t="str">
        <f t="shared" si="0"/>
        <v/>
      </c>
      <c r="C59" s="496">
        <f>IF(D11="","-",+C58+1)</f>
        <v>2055</v>
      </c>
      <c r="D59" s="509">
        <f>IF(F58+SUM(E$17:E58)=D$10,F58,D$10-SUM(E$17:E58))</f>
        <v>123949.87043615879</v>
      </c>
      <c r="E59" s="510">
        <f t="shared" si="10"/>
        <v>123949.87043615879</v>
      </c>
      <c r="F59" s="511">
        <f t="shared" si="11"/>
        <v>0</v>
      </c>
      <c r="G59" s="512">
        <f t="shared" si="12"/>
        <v>131231.36922153275</v>
      </c>
      <c r="H59" s="478">
        <f t="shared" si="13"/>
        <v>131231.36922153275</v>
      </c>
      <c r="I59" s="501">
        <f t="shared" si="6"/>
        <v>0</v>
      </c>
      <c r="J59" s="501"/>
      <c r="K59" s="513"/>
      <c r="L59" s="505">
        <f t="shared" si="14"/>
        <v>0</v>
      </c>
      <c r="M59" s="513"/>
      <c r="N59" s="505">
        <f t="shared" si="4"/>
        <v>0</v>
      </c>
      <c r="O59" s="505">
        <f t="shared" si="5"/>
        <v>0</v>
      </c>
      <c r="P59" s="279"/>
      <c r="R59" s="244"/>
      <c r="S59" s="244"/>
      <c r="T59" s="244"/>
      <c r="U59" s="244"/>
    </row>
    <row r="60" spans="2:21" ht="12.5">
      <c r="B60" s="145" t="str">
        <f t="shared" si="0"/>
        <v/>
      </c>
      <c r="C60" s="496">
        <f>IF(D11="","-",+C59+1)</f>
        <v>2056</v>
      </c>
      <c r="D60" s="509">
        <f>IF(F59+SUM(E$17:E59)=D$10,F59,D$10-SUM(E$17:E59))</f>
        <v>0</v>
      </c>
      <c r="E60" s="510">
        <f t="shared" si="10"/>
        <v>0</v>
      </c>
      <c r="F60" s="511">
        <f t="shared" si="11"/>
        <v>0</v>
      </c>
      <c r="G60" s="512">
        <f t="shared" si="12"/>
        <v>0</v>
      </c>
      <c r="H60" s="478">
        <f t="shared" si="13"/>
        <v>0</v>
      </c>
      <c r="I60" s="501">
        <f t="shared" si="6"/>
        <v>0</v>
      </c>
      <c r="J60" s="501"/>
      <c r="K60" s="513"/>
      <c r="L60" s="505">
        <f t="shared" si="14"/>
        <v>0</v>
      </c>
      <c r="M60" s="513"/>
      <c r="N60" s="505">
        <f t="shared" si="4"/>
        <v>0</v>
      </c>
      <c r="O60" s="505">
        <f t="shared" si="5"/>
        <v>0</v>
      </c>
      <c r="P60" s="279"/>
      <c r="R60" s="244"/>
      <c r="S60" s="244"/>
      <c r="T60" s="244"/>
      <c r="U60" s="244"/>
    </row>
    <row r="61" spans="2:21" ht="12.5">
      <c r="B61" s="145" t="str">
        <f t="shared" si="0"/>
        <v/>
      </c>
      <c r="C61" s="496">
        <f>IF(D11="","-",+C60+1)</f>
        <v>2057</v>
      </c>
      <c r="D61" s="509">
        <f>IF(F60+SUM(E$17:E60)=D$10,F60,D$10-SUM(E$17:E60))</f>
        <v>0</v>
      </c>
      <c r="E61" s="510">
        <f t="shared" si="10"/>
        <v>0</v>
      </c>
      <c r="F61" s="511">
        <f t="shared" si="11"/>
        <v>0</v>
      </c>
      <c r="G61" s="512">
        <f t="shared" si="12"/>
        <v>0</v>
      </c>
      <c r="H61" s="478">
        <f t="shared" si="13"/>
        <v>0</v>
      </c>
      <c r="I61" s="501">
        <f t="shared" si="6"/>
        <v>0</v>
      </c>
      <c r="J61" s="501"/>
      <c r="K61" s="513"/>
      <c r="L61" s="505">
        <f t="shared" si="14"/>
        <v>0</v>
      </c>
      <c r="M61" s="513"/>
      <c r="N61" s="505">
        <f t="shared" si="4"/>
        <v>0</v>
      </c>
      <c r="O61" s="505">
        <f t="shared" si="5"/>
        <v>0</v>
      </c>
      <c r="P61" s="279"/>
      <c r="R61" s="244"/>
      <c r="S61" s="244"/>
      <c r="T61" s="244"/>
      <c r="U61" s="244"/>
    </row>
    <row r="62" spans="2:21" ht="12.5">
      <c r="B62" s="145" t="str">
        <f t="shared" si="0"/>
        <v/>
      </c>
      <c r="C62" s="496">
        <f>IF(D11="","-",+C61+1)</f>
        <v>2058</v>
      </c>
      <c r="D62" s="509">
        <f>IF(F61+SUM(E$17:E61)=D$10,F61,D$10-SUM(E$17:E61))</f>
        <v>0</v>
      </c>
      <c r="E62" s="510">
        <f t="shared" si="10"/>
        <v>0</v>
      </c>
      <c r="F62" s="511">
        <f t="shared" si="11"/>
        <v>0</v>
      </c>
      <c r="G62" s="512">
        <f t="shared" si="12"/>
        <v>0</v>
      </c>
      <c r="H62" s="478">
        <f t="shared" si="13"/>
        <v>0</v>
      </c>
      <c r="I62" s="501">
        <f t="shared" si="6"/>
        <v>0</v>
      </c>
      <c r="J62" s="501"/>
      <c r="K62" s="513"/>
      <c r="L62" s="505">
        <f t="shared" si="14"/>
        <v>0</v>
      </c>
      <c r="M62" s="513"/>
      <c r="N62" s="505">
        <f t="shared" si="4"/>
        <v>0</v>
      </c>
      <c r="O62" s="505">
        <f t="shared" si="5"/>
        <v>0</v>
      </c>
      <c r="P62" s="279"/>
      <c r="R62" s="244"/>
      <c r="S62" s="244"/>
      <c r="T62" s="244"/>
      <c r="U62" s="244"/>
    </row>
    <row r="63" spans="2:21" ht="12.5">
      <c r="B63" s="145" t="str">
        <f t="shared" si="0"/>
        <v/>
      </c>
      <c r="C63" s="496">
        <f>IF(D11="","-",+C62+1)</f>
        <v>2059</v>
      </c>
      <c r="D63" s="509">
        <f>IF(F62+SUM(E$17:E62)=D$10,F62,D$10-SUM(E$17:E62))</f>
        <v>0</v>
      </c>
      <c r="E63" s="510">
        <f t="shared" si="10"/>
        <v>0</v>
      </c>
      <c r="F63" s="511">
        <f t="shared" si="11"/>
        <v>0</v>
      </c>
      <c r="G63" s="512">
        <f t="shared" si="12"/>
        <v>0</v>
      </c>
      <c r="H63" s="478">
        <f t="shared" si="13"/>
        <v>0</v>
      </c>
      <c r="I63" s="501">
        <f t="shared" si="6"/>
        <v>0</v>
      </c>
      <c r="J63" s="501"/>
      <c r="K63" s="513"/>
      <c r="L63" s="505">
        <f t="shared" si="14"/>
        <v>0</v>
      </c>
      <c r="M63" s="513"/>
      <c r="N63" s="505">
        <f t="shared" si="4"/>
        <v>0</v>
      </c>
      <c r="O63" s="505">
        <f t="shared" si="5"/>
        <v>0</v>
      </c>
      <c r="P63" s="279"/>
      <c r="R63" s="244"/>
      <c r="S63" s="244"/>
      <c r="T63" s="244"/>
      <c r="U63" s="244"/>
    </row>
    <row r="64" spans="2:21" ht="12.5">
      <c r="B64" s="145" t="str">
        <f>IF(D64=F63,"","IU")</f>
        <v/>
      </c>
      <c r="C64" s="496">
        <f>IF(D11="","-",+C63+1)</f>
        <v>2060</v>
      </c>
      <c r="D64" s="509">
        <f>IF(F63+SUM(E$17:E63)=D$10,F63,D$10-SUM(E$17:E63))</f>
        <v>0</v>
      </c>
      <c r="E64" s="510">
        <f t="shared" si="10"/>
        <v>0</v>
      </c>
      <c r="F64" s="511">
        <f t="shared" si="11"/>
        <v>0</v>
      </c>
      <c r="G64" s="512">
        <f t="shared" si="12"/>
        <v>0</v>
      </c>
      <c r="H64" s="478">
        <f t="shared" si="13"/>
        <v>0</v>
      </c>
      <c r="I64" s="501">
        <f t="shared" si="6"/>
        <v>0</v>
      </c>
      <c r="J64" s="501"/>
      <c r="K64" s="513"/>
      <c r="L64" s="505">
        <f t="shared" si="14"/>
        <v>0</v>
      </c>
      <c r="M64" s="513"/>
      <c r="N64" s="505">
        <f t="shared" si="4"/>
        <v>0</v>
      </c>
      <c r="O64" s="505">
        <f t="shared" si="5"/>
        <v>0</v>
      </c>
      <c r="P64" s="279"/>
      <c r="R64" s="244"/>
      <c r="S64" s="244"/>
      <c r="T64" s="244"/>
      <c r="U64" s="244"/>
    </row>
    <row r="65" spans="2:21" ht="12.5">
      <c r="B65" s="145" t="str">
        <f t="shared" si="0"/>
        <v/>
      </c>
      <c r="C65" s="496">
        <f>IF(D11="","-",+C64+1)</f>
        <v>2061</v>
      </c>
      <c r="D65" s="509">
        <f>IF(F64+SUM(E$17:E64)=D$10,F64,D$10-SUM(E$17:E64))</f>
        <v>0</v>
      </c>
      <c r="E65" s="510">
        <f t="shared" si="10"/>
        <v>0</v>
      </c>
      <c r="F65" s="511">
        <f t="shared" si="11"/>
        <v>0</v>
      </c>
      <c r="G65" s="512">
        <f t="shared" si="12"/>
        <v>0</v>
      </c>
      <c r="H65" s="478">
        <f t="shared" si="13"/>
        <v>0</v>
      </c>
      <c r="I65" s="501">
        <f t="shared" si="6"/>
        <v>0</v>
      </c>
      <c r="J65" s="501"/>
      <c r="K65" s="513"/>
      <c r="L65" s="505">
        <f t="shared" si="14"/>
        <v>0</v>
      </c>
      <c r="M65" s="513"/>
      <c r="N65" s="505">
        <f t="shared" si="4"/>
        <v>0</v>
      </c>
      <c r="O65" s="505">
        <f t="shared" si="5"/>
        <v>0</v>
      </c>
      <c r="P65" s="279"/>
      <c r="R65" s="244"/>
      <c r="S65" s="244"/>
      <c r="T65" s="244"/>
      <c r="U65" s="244"/>
    </row>
    <row r="66" spans="2:21" ht="12.5">
      <c r="B66" s="145" t="str">
        <f t="shared" si="0"/>
        <v/>
      </c>
      <c r="C66" s="496">
        <f>IF(D11="","-",+C65+1)</f>
        <v>2062</v>
      </c>
      <c r="D66" s="509">
        <f>IF(F65+SUM(E$17:E65)=D$10,F65,D$10-SUM(E$17:E65))</f>
        <v>0</v>
      </c>
      <c r="E66" s="510">
        <f t="shared" si="10"/>
        <v>0</v>
      </c>
      <c r="F66" s="511">
        <f t="shared" si="11"/>
        <v>0</v>
      </c>
      <c r="G66" s="512">
        <f t="shared" si="12"/>
        <v>0</v>
      </c>
      <c r="H66" s="478">
        <f t="shared" si="13"/>
        <v>0</v>
      </c>
      <c r="I66" s="501">
        <f t="shared" si="6"/>
        <v>0</v>
      </c>
      <c r="J66" s="501"/>
      <c r="K66" s="513"/>
      <c r="L66" s="505">
        <f t="shared" si="14"/>
        <v>0</v>
      </c>
      <c r="M66" s="513"/>
      <c r="N66" s="505">
        <f t="shared" si="4"/>
        <v>0</v>
      </c>
      <c r="O66" s="505">
        <f t="shared" si="5"/>
        <v>0</v>
      </c>
      <c r="P66" s="279"/>
      <c r="R66" s="244"/>
      <c r="S66" s="244"/>
      <c r="T66" s="244"/>
      <c r="U66" s="244"/>
    </row>
    <row r="67" spans="2:21" ht="12.5">
      <c r="B67" s="145" t="str">
        <f t="shared" si="0"/>
        <v/>
      </c>
      <c r="C67" s="496">
        <f>IF(D11="","-",+C66+1)</f>
        <v>2063</v>
      </c>
      <c r="D67" s="509">
        <f>IF(F66+SUM(E$17:E66)=D$10,F66,D$10-SUM(E$17:E66))</f>
        <v>0</v>
      </c>
      <c r="E67" s="510">
        <f t="shared" si="10"/>
        <v>0</v>
      </c>
      <c r="F67" s="511">
        <f t="shared" si="11"/>
        <v>0</v>
      </c>
      <c r="G67" s="512">
        <f t="shared" si="12"/>
        <v>0</v>
      </c>
      <c r="H67" s="478">
        <f t="shared" si="13"/>
        <v>0</v>
      </c>
      <c r="I67" s="501">
        <f t="shared" si="6"/>
        <v>0</v>
      </c>
      <c r="J67" s="501"/>
      <c r="K67" s="513"/>
      <c r="L67" s="505">
        <f t="shared" si="14"/>
        <v>0</v>
      </c>
      <c r="M67" s="513"/>
      <c r="N67" s="505">
        <f t="shared" si="4"/>
        <v>0</v>
      </c>
      <c r="O67" s="505">
        <f t="shared" si="5"/>
        <v>0</v>
      </c>
      <c r="P67" s="279"/>
      <c r="R67" s="244"/>
      <c r="S67" s="244"/>
      <c r="T67" s="244"/>
      <c r="U67" s="244"/>
    </row>
    <row r="68" spans="2:21" ht="12.5">
      <c r="B68" s="145" t="str">
        <f t="shared" si="0"/>
        <v/>
      </c>
      <c r="C68" s="496">
        <f>IF(D11="","-",+C67+1)</f>
        <v>2064</v>
      </c>
      <c r="D68" s="509">
        <f>IF(F67+SUM(E$17:E67)=D$10,F67,D$10-SUM(E$17:E67))</f>
        <v>0</v>
      </c>
      <c r="E68" s="510">
        <f t="shared" si="10"/>
        <v>0</v>
      </c>
      <c r="F68" s="511">
        <f t="shared" si="11"/>
        <v>0</v>
      </c>
      <c r="G68" s="512">
        <f t="shared" si="12"/>
        <v>0</v>
      </c>
      <c r="H68" s="478">
        <f t="shared" si="13"/>
        <v>0</v>
      </c>
      <c r="I68" s="501">
        <f t="shared" si="6"/>
        <v>0</v>
      </c>
      <c r="J68" s="501"/>
      <c r="K68" s="513"/>
      <c r="L68" s="505">
        <f t="shared" si="14"/>
        <v>0</v>
      </c>
      <c r="M68" s="513"/>
      <c r="N68" s="505">
        <f t="shared" si="4"/>
        <v>0</v>
      </c>
      <c r="O68" s="505">
        <f t="shared" si="5"/>
        <v>0</v>
      </c>
      <c r="P68" s="279"/>
      <c r="R68" s="244"/>
      <c r="S68" s="244"/>
      <c r="T68" s="244"/>
      <c r="U68" s="244"/>
    </row>
    <row r="69" spans="2:21" ht="12.5">
      <c r="B69" s="145" t="str">
        <f t="shared" si="0"/>
        <v/>
      </c>
      <c r="C69" s="496">
        <f>IF(D11="","-",+C68+1)</f>
        <v>2065</v>
      </c>
      <c r="D69" s="509">
        <f>IF(F68+SUM(E$17:E68)=D$10,F68,D$10-SUM(E$17:E68))</f>
        <v>0</v>
      </c>
      <c r="E69" s="510">
        <f t="shared" si="10"/>
        <v>0</v>
      </c>
      <c r="F69" s="511">
        <f t="shared" si="11"/>
        <v>0</v>
      </c>
      <c r="G69" s="512">
        <f t="shared" si="12"/>
        <v>0</v>
      </c>
      <c r="H69" s="478">
        <f t="shared" si="13"/>
        <v>0</v>
      </c>
      <c r="I69" s="501">
        <f t="shared" si="6"/>
        <v>0</v>
      </c>
      <c r="J69" s="501"/>
      <c r="K69" s="513"/>
      <c r="L69" s="505">
        <f t="shared" si="14"/>
        <v>0</v>
      </c>
      <c r="M69" s="513"/>
      <c r="N69" s="505">
        <f t="shared" si="4"/>
        <v>0</v>
      </c>
      <c r="O69" s="505">
        <f t="shared" si="5"/>
        <v>0</v>
      </c>
      <c r="P69" s="279"/>
      <c r="R69" s="244"/>
      <c r="S69" s="244"/>
      <c r="T69" s="244"/>
      <c r="U69" s="244"/>
    </row>
    <row r="70" spans="2:21" ht="12.5">
      <c r="B70" s="145" t="str">
        <f t="shared" si="0"/>
        <v/>
      </c>
      <c r="C70" s="496">
        <f>IF(D11="","-",+C69+1)</f>
        <v>2066</v>
      </c>
      <c r="D70" s="509">
        <f>IF(F69+SUM(E$17:E69)=D$10,F69,D$10-SUM(E$17:E69))</f>
        <v>0</v>
      </c>
      <c r="E70" s="510">
        <f t="shared" si="10"/>
        <v>0</v>
      </c>
      <c r="F70" s="511">
        <f t="shared" si="11"/>
        <v>0</v>
      </c>
      <c r="G70" s="512">
        <f t="shared" si="12"/>
        <v>0</v>
      </c>
      <c r="H70" s="478">
        <f t="shared" si="13"/>
        <v>0</v>
      </c>
      <c r="I70" s="501">
        <f t="shared" si="6"/>
        <v>0</v>
      </c>
      <c r="J70" s="501"/>
      <c r="K70" s="513"/>
      <c r="L70" s="505">
        <f t="shared" si="14"/>
        <v>0</v>
      </c>
      <c r="M70" s="513"/>
      <c r="N70" s="505">
        <f t="shared" si="4"/>
        <v>0</v>
      </c>
      <c r="O70" s="505">
        <f t="shared" si="5"/>
        <v>0</v>
      </c>
      <c r="P70" s="279"/>
      <c r="R70" s="244"/>
      <c r="S70" s="244"/>
      <c r="T70" s="244"/>
      <c r="U70" s="244"/>
    </row>
    <row r="71" spans="2:21" ht="12.5">
      <c r="B71" s="145" t="str">
        <f t="shared" si="0"/>
        <v/>
      </c>
      <c r="C71" s="496">
        <f>IF(D11="","-",+C70+1)</f>
        <v>2067</v>
      </c>
      <c r="D71" s="509">
        <f>IF(F70+SUM(E$17:E70)=D$10,F70,D$10-SUM(E$17:E70))</f>
        <v>0</v>
      </c>
      <c r="E71" s="510">
        <f t="shared" si="10"/>
        <v>0</v>
      </c>
      <c r="F71" s="511">
        <f t="shared" si="11"/>
        <v>0</v>
      </c>
      <c r="G71" s="512">
        <f t="shared" si="12"/>
        <v>0</v>
      </c>
      <c r="H71" s="478">
        <f t="shared" si="13"/>
        <v>0</v>
      </c>
      <c r="I71" s="501">
        <f t="shared" si="6"/>
        <v>0</v>
      </c>
      <c r="J71" s="501"/>
      <c r="K71" s="513"/>
      <c r="L71" s="505">
        <f t="shared" si="14"/>
        <v>0</v>
      </c>
      <c r="M71" s="513"/>
      <c r="N71" s="505">
        <f t="shared" si="4"/>
        <v>0</v>
      </c>
      <c r="O71" s="505">
        <f t="shared" si="5"/>
        <v>0</v>
      </c>
      <c r="P71" s="279"/>
      <c r="R71" s="244"/>
      <c r="S71" s="244"/>
      <c r="T71" s="244"/>
      <c r="U71" s="244"/>
    </row>
    <row r="72" spans="2:21" ht="12.5">
      <c r="B72" s="145" t="str">
        <f t="shared" si="0"/>
        <v/>
      </c>
      <c r="C72" s="496">
        <f>IF(D11="","-",+C71+1)</f>
        <v>2068</v>
      </c>
      <c r="D72" s="509">
        <f>IF(F71+SUM(E$17:E71)=D$10,F71,D$10-SUM(E$17:E71))</f>
        <v>0</v>
      </c>
      <c r="E72" s="510">
        <f t="shared" si="10"/>
        <v>0</v>
      </c>
      <c r="F72" s="511">
        <f t="shared" si="11"/>
        <v>0</v>
      </c>
      <c r="G72" s="512">
        <f t="shared" si="12"/>
        <v>0</v>
      </c>
      <c r="H72" s="478">
        <f t="shared" si="13"/>
        <v>0</v>
      </c>
      <c r="I72" s="501">
        <f t="shared" si="6"/>
        <v>0</v>
      </c>
      <c r="J72" s="501"/>
      <c r="K72" s="513"/>
      <c r="L72" s="505">
        <f t="shared" si="14"/>
        <v>0</v>
      </c>
      <c r="M72" s="513"/>
      <c r="N72" s="505">
        <f t="shared" si="4"/>
        <v>0</v>
      </c>
      <c r="O72" s="505">
        <f t="shared" si="5"/>
        <v>0</v>
      </c>
      <c r="P72" s="279"/>
      <c r="R72" s="244"/>
      <c r="S72" s="244"/>
      <c r="T72" s="244"/>
      <c r="U72" s="244"/>
    </row>
    <row r="73" spans="2:21" ht="13" thickBot="1">
      <c r="B73" s="145" t="str">
        <f t="shared" si="0"/>
        <v/>
      </c>
      <c r="C73" s="525">
        <f>IF(D11="","-",+C72+1)</f>
        <v>2069</v>
      </c>
      <c r="D73" s="526">
        <f>IF(F72+SUM(E$17:E72)=D$10,F72,D$10-SUM(E$17:E72))</f>
        <v>0</v>
      </c>
      <c r="E73" s="527">
        <f t="shared" si="10"/>
        <v>0</v>
      </c>
      <c r="F73" s="528">
        <f t="shared" si="11"/>
        <v>0</v>
      </c>
      <c r="G73" s="528">
        <f t="shared" si="12"/>
        <v>0</v>
      </c>
      <c r="H73" s="528">
        <f t="shared" si="13"/>
        <v>0</v>
      </c>
      <c r="I73" s="530">
        <f t="shared" si="6"/>
        <v>0</v>
      </c>
      <c r="J73" s="501"/>
      <c r="K73" s="531"/>
      <c r="L73" s="532">
        <f t="shared" si="14"/>
        <v>0</v>
      </c>
      <c r="M73" s="531"/>
      <c r="N73" s="532">
        <f t="shared" si="4"/>
        <v>0</v>
      </c>
      <c r="O73" s="532">
        <f t="shared" si="5"/>
        <v>0</v>
      </c>
      <c r="P73" s="279"/>
      <c r="R73" s="244"/>
      <c r="S73" s="244"/>
      <c r="T73" s="244"/>
      <c r="U73" s="244"/>
    </row>
    <row r="74" spans="2:21" ht="12.5">
      <c r="C74" s="350" t="s">
        <v>75</v>
      </c>
      <c r="D74" s="295"/>
      <c r="E74" s="295">
        <f>SUM(E17:E73)</f>
        <v>7210309.0000000009</v>
      </c>
      <c r="F74" s="295"/>
      <c r="G74" s="295">
        <f>SUM(G17:G73)</f>
        <v>24751373.3961244</v>
      </c>
      <c r="H74" s="295">
        <f>SUM(H17:H73)</f>
        <v>24751373.3961244</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439" t="str">
        <f ca="1">P1</f>
        <v>OKT Project 10 of 19</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2019</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877586.22744876624</v>
      </c>
      <c r="N88" s="545">
        <f>IF(J93&lt;D11,0,VLOOKUP(J93,C17:O73,11))</f>
        <v>877586.22744876624</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912898.59381278604</v>
      </c>
      <c r="N89" s="549">
        <f>IF(J93&lt;D11,0,VLOOKUP(J93,C100:P155,7))</f>
        <v>912898.59381278604</v>
      </c>
      <c r="O89" s="550">
        <f>+N89-M89</f>
        <v>0</v>
      </c>
      <c r="P89" s="244"/>
      <c r="Q89" s="244"/>
      <c r="R89" s="244"/>
      <c r="S89" s="244"/>
      <c r="T89" s="244"/>
      <c r="U89" s="244"/>
    </row>
    <row r="90" spans="1:21" ht="13.5" thickBot="1">
      <c r="C90" s="455" t="s">
        <v>82</v>
      </c>
      <c r="D90" s="551" t="str">
        <f>+D7</f>
        <v>Wapanucka Customer Connection</v>
      </c>
      <c r="E90" s="244"/>
      <c r="F90" s="244"/>
      <c r="G90" s="244"/>
      <c r="H90" s="244"/>
      <c r="I90" s="326"/>
      <c r="J90" s="326"/>
      <c r="K90" s="552"/>
      <c r="L90" s="553" t="s">
        <v>135</v>
      </c>
      <c r="M90" s="554">
        <f>+M89-M88</f>
        <v>35312.366364019806</v>
      </c>
      <c r="N90" s="554">
        <f>+N89-N88</f>
        <v>35312.366364019806</v>
      </c>
      <c r="O90" s="555">
        <f>+O89-O88</f>
        <v>0</v>
      </c>
      <c r="P90" s="244"/>
      <c r="Q90" s="244"/>
      <c r="R90" s="244"/>
      <c r="S90" s="244"/>
      <c r="T90" s="244"/>
      <c r="U90" s="244"/>
    </row>
    <row r="91" spans="1:21" ht="13.5" thickBot="1">
      <c r="C91" s="533"/>
      <c r="D91" s="627" t="str">
        <f>IF(D8="","",D8)</f>
        <v>***Sch. 11 recovery commenced in 2015 rate year***</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TP2012141</v>
      </c>
      <c r="E92" s="559"/>
      <c r="F92" s="559"/>
      <c r="G92" s="559"/>
      <c r="H92" s="559"/>
      <c r="I92" s="559"/>
      <c r="J92" s="559"/>
      <c r="K92" s="561"/>
      <c r="P92" s="469"/>
      <c r="Q92" s="244"/>
      <c r="R92" s="244"/>
      <c r="S92" s="244"/>
      <c r="T92" s="244"/>
      <c r="U92" s="244"/>
    </row>
    <row r="93" spans="1:21" ht="13">
      <c r="C93" s="473" t="s">
        <v>49</v>
      </c>
      <c r="D93" s="623">
        <v>7210309</v>
      </c>
      <c r="E93" s="249" t="s">
        <v>84</v>
      </c>
      <c r="H93" s="409"/>
      <c r="I93" s="409"/>
      <c r="J93" s="472">
        <f>+'OKT.WS.G.BPU.ATRR.True-up'!M16</f>
        <v>2019</v>
      </c>
      <c r="K93" s="468"/>
      <c r="L93" s="295" t="s">
        <v>85</v>
      </c>
      <c r="P93" s="279"/>
      <c r="Q93" s="244"/>
      <c r="R93" s="244"/>
      <c r="S93" s="244"/>
      <c r="T93" s="244"/>
      <c r="U93" s="244"/>
    </row>
    <row r="94" spans="1:21" ht="12.5">
      <c r="C94" s="473" t="s">
        <v>52</v>
      </c>
      <c r="D94" s="562">
        <f>D11</f>
        <v>2013</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62">
        <f>D12</f>
        <v>12</v>
      </c>
      <c r="E95" s="473" t="s">
        <v>55</v>
      </c>
      <c r="F95" s="409"/>
      <c r="G95" s="409"/>
      <c r="J95" s="477">
        <f>'OKT.WS.G.BPU.ATRR.True-up'!$F$81</f>
        <v>0.10800922592579221</v>
      </c>
      <c r="K95" s="414"/>
      <c r="L95" s="145" t="s">
        <v>86</v>
      </c>
      <c r="P95" s="279"/>
      <c r="Q95" s="244"/>
      <c r="R95" s="244"/>
      <c r="S95" s="244"/>
      <c r="T95" s="244"/>
      <c r="U95" s="244"/>
    </row>
    <row r="96" spans="1:21" ht="12.5">
      <c r="C96" s="473" t="s">
        <v>57</v>
      </c>
      <c r="D96" s="475">
        <f>'OKT.WS.G.BPU.ATRR.True-up'!F$93</f>
        <v>33</v>
      </c>
      <c r="E96" s="473" t="s">
        <v>58</v>
      </c>
      <c r="F96" s="409"/>
      <c r="G96" s="409"/>
      <c r="J96" s="477">
        <f>IF(H88="",J95,'OKT.WS.G.BPU.ATRR.True-up'!$F$80)</f>
        <v>0.10800922592579221</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218494.21212121213</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494" t="s">
        <v>71</v>
      </c>
      <c r="I99" s="490" t="s">
        <v>72</v>
      </c>
      <c r="J99" s="491" t="s">
        <v>93</v>
      </c>
      <c r="K99" s="492"/>
      <c r="L99" s="493" t="s">
        <v>74</v>
      </c>
      <c r="M99" s="493" t="s">
        <v>74</v>
      </c>
      <c r="N99" s="493" t="s">
        <v>94</v>
      </c>
      <c r="O99" s="493" t="s">
        <v>94</v>
      </c>
      <c r="P99" s="493" t="s">
        <v>94</v>
      </c>
      <c r="Q99" s="244"/>
      <c r="R99" s="244"/>
      <c r="S99" s="244"/>
      <c r="T99" s="244"/>
      <c r="U99" s="244"/>
    </row>
    <row r="100" spans="1:21" ht="12.5">
      <c r="C100" s="496">
        <f>IF(D94= "","-",D94)</f>
        <v>2013</v>
      </c>
      <c r="D100" s="350"/>
      <c r="E100" s="512"/>
      <c r="F100" s="511"/>
      <c r="G100" s="606"/>
      <c r="H100" s="606"/>
      <c r="I100" s="606"/>
      <c r="J100" s="505"/>
      <c r="K100" s="505"/>
      <c r="L100" s="502"/>
      <c r="M100" s="503">
        <f t="shared" ref="M100:M131" si="15">IF(L100&lt;&gt;0,+H100-L100,0)</f>
        <v>0</v>
      </c>
      <c r="N100" s="502"/>
      <c r="O100" s="504">
        <f t="shared" ref="O100:O131" si="16">IF(N100&lt;&gt;0,+I100-N100,0)</f>
        <v>0</v>
      </c>
      <c r="P100" s="504">
        <f t="shared" ref="P100:P131" si="17">+O100-M100</f>
        <v>0</v>
      </c>
      <c r="Q100" s="244"/>
      <c r="R100" s="244"/>
      <c r="S100" s="244"/>
      <c r="T100" s="244"/>
      <c r="U100" s="244"/>
    </row>
    <row r="101" spans="1:21" ht="12.5">
      <c r="C101" s="496">
        <f>IF(D94="","-",+C100+1)</f>
        <v>2014</v>
      </c>
      <c r="D101" s="350"/>
      <c r="E101" s="510"/>
      <c r="F101" s="511"/>
      <c r="G101" s="511"/>
      <c r="H101" s="628"/>
      <c r="I101" s="629"/>
      <c r="J101" s="505"/>
      <c r="K101" s="505"/>
      <c r="L101" s="507"/>
      <c r="M101" s="508">
        <f t="shared" si="15"/>
        <v>0</v>
      </c>
      <c r="N101" s="507"/>
      <c r="O101" s="505">
        <f t="shared" si="16"/>
        <v>0</v>
      </c>
      <c r="P101" s="505">
        <f t="shared" si="17"/>
        <v>0</v>
      </c>
      <c r="Q101" s="244"/>
      <c r="R101" s="244"/>
      <c r="S101" s="244"/>
      <c r="T101" s="244"/>
      <c r="U101" s="244"/>
    </row>
    <row r="102" spans="1:21" ht="12.5">
      <c r="B102" s="145" t="str">
        <f t="shared" ref="B102:B155" si="18">IF(D102=F101,"","IU")</f>
        <v>IU</v>
      </c>
      <c r="C102" s="496">
        <f>IF(D94="","-",+C101+1)</f>
        <v>2015</v>
      </c>
      <c r="D102" s="497">
        <v>7076304.3908220464</v>
      </c>
      <c r="E102" s="499">
        <v>150018.20833333334</v>
      </c>
      <c r="F102" s="506">
        <v>6926286.1824887134</v>
      </c>
      <c r="G102" s="506">
        <v>7001295.2866553795</v>
      </c>
      <c r="H102" s="499">
        <v>929468.41200641857</v>
      </c>
      <c r="I102" s="500">
        <v>929468.41200641857</v>
      </c>
      <c r="J102" s="505">
        <v>0</v>
      </c>
      <c r="K102" s="505"/>
      <c r="L102" s="507">
        <f>H102</f>
        <v>929468.41200641857</v>
      </c>
      <c r="M102" s="505">
        <f>IF(L102&lt;&gt;0,+H102-L102,0)</f>
        <v>0</v>
      </c>
      <c r="N102" s="507">
        <f>I102</f>
        <v>929468.41200641857</v>
      </c>
      <c r="O102" s="505">
        <f t="shared" si="16"/>
        <v>0</v>
      </c>
      <c r="P102" s="505">
        <f t="shared" si="17"/>
        <v>0</v>
      </c>
      <c r="Q102" s="244"/>
      <c r="R102" s="244"/>
      <c r="S102" s="244"/>
      <c r="T102" s="244"/>
      <c r="U102" s="244"/>
    </row>
    <row r="103" spans="1:21" ht="12.5">
      <c r="B103" s="145" t="str">
        <f t="shared" si="18"/>
        <v>IU</v>
      </c>
      <c r="C103" s="496">
        <f>IF(D94="","-",+C102+1)</f>
        <v>2016</v>
      </c>
      <c r="D103" s="497">
        <v>7060290.791666667</v>
      </c>
      <c r="E103" s="499">
        <v>141378.60784313726</v>
      </c>
      <c r="F103" s="506">
        <v>6918912.1838235296</v>
      </c>
      <c r="G103" s="506">
        <v>6989601.4877450988</v>
      </c>
      <c r="H103" s="499">
        <v>898837.94259524392</v>
      </c>
      <c r="I103" s="500">
        <v>898837.94259524392</v>
      </c>
      <c r="J103" s="505">
        <f>+I103-H103</f>
        <v>0</v>
      </c>
      <c r="K103" s="505"/>
      <c r="L103" s="507">
        <f>H103</f>
        <v>898837.94259524392</v>
      </c>
      <c r="M103" s="505">
        <f>IF(L103&lt;&gt;0,+H103-L103,0)</f>
        <v>0</v>
      </c>
      <c r="N103" s="507">
        <f>I103</f>
        <v>898837.94259524392</v>
      </c>
      <c r="O103" s="505">
        <f>IF(N103&lt;&gt;0,+I103-N103,0)</f>
        <v>0</v>
      </c>
      <c r="P103" s="505">
        <f>+O103-M103</f>
        <v>0</v>
      </c>
      <c r="Q103" s="244"/>
      <c r="R103" s="244"/>
      <c r="S103" s="244"/>
      <c r="T103" s="244"/>
      <c r="U103" s="244"/>
    </row>
    <row r="104" spans="1:21" ht="12.5">
      <c r="B104" s="145" t="str">
        <f t="shared" si="18"/>
        <v/>
      </c>
      <c r="C104" s="496">
        <f>IF(D94="","-",+C103+1)</f>
        <v>2017</v>
      </c>
      <c r="D104" s="497">
        <v>6918912.1838235296</v>
      </c>
      <c r="E104" s="499">
        <v>180257.72500000001</v>
      </c>
      <c r="F104" s="506">
        <v>6738654.45882353</v>
      </c>
      <c r="G104" s="506">
        <v>6828783.3213235298</v>
      </c>
      <c r="H104" s="499">
        <v>981518.91752081981</v>
      </c>
      <c r="I104" s="500">
        <v>981518.91752081981</v>
      </c>
      <c r="J104" s="505">
        <f t="shared" ref="J104:J155" si="19">+I104-H104</f>
        <v>0</v>
      </c>
      <c r="K104" s="505"/>
      <c r="L104" s="507">
        <f>H104</f>
        <v>981518.91752081981</v>
      </c>
      <c r="M104" s="505">
        <f>IF(L104&lt;&gt;0,+H104-L104,0)</f>
        <v>0</v>
      </c>
      <c r="N104" s="507">
        <f>I104</f>
        <v>981518.91752081981</v>
      </c>
      <c r="O104" s="505">
        <f>IF(N104&lt;&gt;0,+I104-N104,0)</f>
        <v>0</v>
      </c>
      <c r="P104" s="505">
        <f>+O104-M104</f>
        <v>0</v>
      </c>
      <c r="Q104" s="244"/>
      <c r="R104" s="244"/>
      <c r="S104" s="244"/>
      <c r="T104" s="244"/>
      <c r="U104" s="244"/>
    </row>
    <row r="105" spans="1:21" ht="12.5">
      <c r="B105" s="145" t="str">
        <f t="shared" si="18"/>
        <v/>
      </c>
      <c r="C105" s="496">
        <f>IF(D94="","-",+C104+1)</f>
        <v>2018</v>
      </c>
      <c r="D105" s="497">
        <v>6738654.45882353</v>
      </c>
      <c r="E105" s="499">
        <v>200286.36111111112</v>
      </c>
      <c r="F105" s="506">
        <v>6538368.097712419</v>
      </c>
      <c r="G105" s="506">
        <v>6638511.278267974</v>
      </c>
      <c r="H105" s="499">
        <v>901063.87001696113</v>
      </c>
      <c r="I105" s="500">
        <v>901063.87001696113</v>
      </c>
      <c r="J105" s="505">
        <f t="shared" si="19"/>
        <v>0</v>
      </c>
      <c r="K105" s="505"/>
      <c r="L105" s="507">
        <f>H105</f>
        <v>901063.87001696113</v>
      </c>
      <c r="M105" s="505">
        <f>IF(L105&lt;&gt;0,+H105-L105,0)</f>
        <v>0</v>
      </c>
      <c r="N105" s="507">
        <f>I105</f>
        <v>901063.87001696113</v>
      </c>
      <c r="O105" s="505">
        <f>IF(N105&lt;&gt;0,+I105-N105,0)</f>
        <v>0</v>
      </c>
      <c r="P105" s="505">
        <f>+O105-M105</f>
        <v>0</v>
      </c>
      <c r="Q105" s="244"/>
      <c r="R105" s="244"/>
      <c r="S105" s="244"/>
      <c r="T105" s="244"/>
      <c r="U105" s="244"/>
    </row>
    <row r="106" spans="1:21" ht="12.5">
      <c r="B106" s="145" t="str">
        <f t="shared" si="18"/>
        <v/>
      </c>
      <c r="C106" s="496">
        <f>IF(D94="","-",+C105+1)</f>
        <v>2019</v>
      </c>
      <c r="D106" s="350">
        <f>IF(F105+SUM(E$100:E105)=D$93,F105,D$93-SUM(E$100:E105))</f>
        <v>6538368.097712419</v>
      </c>
      <c r="E106" s="630">
        <f t="shared" ref="E106:E155" si="20">IF(+$J$97&lt;F105,$J$97,D106)</f>
        <v>218494.21212121213</v>
      </c>
      <c r="F106" s="511">
        <f t="shared" ref="F106:F155" si="21">+D106-E106</f>
        <v>6319873.8855912071</v>
      </c>
      <c r="G106" s="511">
        <f t="shared" ref="G106:G155" si="22">+(F106+D106)/2</f>
        <v>6429120.9916518126</v>
      </c>
      <c r="H106" s="631">
        <f t="shared" ref="H106:H155" si="23">+J$95*G106+E106</f>
        <v>912898.59381278604</v>
      </c>
      <c r="I106" s="632">
        <f t="shared" ref="I106:I155" si="24">+J$96*G106+E106</f>
        <v>912898.59381278604</v>
      </c>
      <c r="J106" s="505">
        <f t="shared" si="19"/>
        <v>0</v>
      </c>
      <c r="K106" s="505"/>
      <c r="L106" s="513"/>
      <c r="M106" s="505">
        <f t="shared" si="15"/>
        <v>0</v>
      </c>
      <c r="N106" s="513"/>
      <c r="O106" s="505">
        <f t="shared" si="16"/>
        <v>0</v>
      </c>
      <c r="P106" s="505">
        <f t="shared" si="17"/>
        <v>0</v>
      </c>
      <c r="Q106" s="244"/>
      <c r="R106" s="244"/>
      <c r="S106" s="244"/>
      <c r="T106" s="244"/>
      <c r="U106" s="244"/>
    </row>
    <row r="107" spans="1:21" ht="12.5">
      <c r="B107" s="145" t="str">
        <f t="shared" si="18"/>
        <v/>
      </c>
      <c r="C107" s="496">
        <f>IF(D94="","-",+C106+1)</f>
        <v>2020</v>
      </c>
      <c r="D107" s="350">
        <f>IF(F106+SUM(E$100:E106)=D$93,F106,D$93-SUM(E$100:E106))</f>
        <v>6319873.8855912071</v>
      </c>
      <c r="E107" s="630">
        <f t="shared" si="20"/>
        <v>218494.21212121213</v>
      </c>
      <c r="F107" s="511">
        <f t="shared" si="21"/>
        <v>6101379.6734699951</v>
      </c>
      <c r="G107" s="511">
        <f t="shared" si="22"/>
        <v>6210626.7795306016</v>
      </c>
      <c r="H107" s="631">
        <f t="shared" si="23"/>
        <v>889299.20309230813</v>
      </c>
      <c r="I107" s="632">
        <f t="shared" si="24"/>
        <v>889299.20309230813</v>
      </c>
      <c r="J107" s="505">
        <f t="shared" si="19"/>
        <v>0</v>
      </c>
      <c r="K107" s="505"/>
      <c r="L107" s="513"/>
      <c r="M107" s="505">
        <f t="shared" si="15"/>
        <v>0</v>
      </c>
      <c r="N107" s="513"/>
      <c r="O107" s="505">
        <f t="shared" si="16"/>
        <v>0</v>
      </c>
      <c r="P107" s="505">
        <f t="shared" si="17"/>
        <v>0</v>
      </c>
      <c r="Q107" s="244"/>
      <c r="R107" s="244"/>
      <c r="S107" s="244"/>
      <c r="T107" s="244"/>
      <c r="U107" s="244"/>
    </row>
    <row r="108" spans="1:21" ht="12.5">
      <c r="B108" s="145" t="str">
        <f t="shared" si="18"/>
        <v/>
      </c>
      <c r="C108" s="496">
        <f>IF(D94="","-",+C107+1)</f>
        <v>2021</v>
      </c>
      <c r="D108" s="350">
        <f>IF(F107+SUM(E$100:E107)=D$93,F107,D$93-SUM(E$100:E107))</f>
        <v>6101379.6734699951</v>
      </c>
      <c r="E108" s="630">
        <f t="shared" si="20"/>
        <v>218494.21212121213</v>
      </c>
      <c r="F108" s="511">
        <f t="shared" si="21"/>
        <v>5882885.4613487832</v>
      </c>
      <c r="G108" s="511">
        <f t="shared" si="22"/>
        <v>5992132.5674093887</v>
      </c>
      <c r="H108" s="631">
        <f t="shared" si="23"/>
        <v>865699.81237183011</v>
      </c>
      <c r="I108" s="632">
        <f t="shared" si="24"/>
        <v>865699.81237183011</v>
      </c>
      <c r="J108" s="505">
        <f t="shared" si="19"/>
        <v>0</v>
      </c>
      <c r="K108" s="505"/>
      <c r="L108" s="513"/>
      <c r="M108" s="505">
        <f t="shared" si="15"/>
        <v>0</v>
      </c>
      <c r="N108" s="513"/>
      <c r="O108" s="505">
        <f t="shared" si="16"/>
        <v>0</v>
      </c>
      <c r="P108" s="505">
        <f t="shared" si="17"/>
        <v>0</v>
      </c>
      <c r="Q108" s="244"/>
      <c r="R108" s="244"/>
      <c r="S108" s="244"/>
      <c r="T108" s="244"/>
      <c r="U108" s="244"/>
    </row>
    <row r="109" spans="1:21" ht="12.5">
      <c r="B109" s="145" t="str">
        <f t="shared" si="18"/>
        <v/>
      </c>
      <c r="C109" s="496">
        <f>IF(D94="","-",+C108+1)</f>
        <v>2022</v>
      </c>
      <c r="D109" s="350">
        <f>IF(F108+SUM(E$100:E108)=D$93,F108,D$93-SUM(E$100:E108))</f>
        <v>5882885.4613487832</v>
      </c>
      <c r="E109" s="630">
        <f t="shared" si="20"/>
        <v>218494.21212121213</v>
      </c>
      <c r="F109" s="511">
        <f t="shared" si="21"/>
        <v>5664391.2492275713</v>
      </c>
      <c r="G109" s="511">
        <f t="shared" si="22"/>
        <v>5773638.3552881777</v>
      </c>
      <c r="H109" s="631">
        <f t="shared" si="23"/>
        <v>842100.42165135231</v>
      </c>
      <c r="I109" s="632">
        <f t="shared" si="24"/>
        <v>842100.42165135231</v>
      </c>
      <c r="J109" s="505">
        <f t="shared" si="19"/>
        <v>0</v>
      </c>
      <c r="K109" s="505"/>
      <c r="L109" s="513"/>
      <c r="M109" s="505">
        <f t="shared" si="15"/>
        <v>0</v>
      </c>
      <c r="N109" s="513"/>
      <c r="O109" s="505">
        <f t="shared" si="16"/>
        <v>0</v>
      </c>
      <c r="P109" s="505">
        <f t="shared" si="17"/>
        <v>0</v>
      </c>
      <c r="Q109" s="244"/>
      <c r="R109" s="244"/>
      <c r="S109" s="244"/>
      <c r="T109" s="244"/>
      <c r="U109" s="244"/>
    </row>
    <row r="110" spans="1:21" ht="12.5">
      <c r="B110" s="145" t="str">
        <f t="shared" si="18"/>
        <v/>
      </c>
      <c r="C110" s="496">
        <f>IF(D94="","-",+C109+1)</f>
        <v>2023</v>
      </c>
      <c r="D110" s="350">
        <f>IF(F109+SUM(E$100:E109)=D$93,F109,D$93-SUM(E$100:E109))</f>
        <v>5664391.2492275713</v>
      </c>
      <c r="E110" s="630">
        <f t="shared" si="20"/>
        <v>218494.21212121213</v>
      </c>
      <c r="F110" s="511">
        <f t="shared" si="21"/>
        <v>5445897.0371063594</v>
      </c>
      <c r="G110" s="511">
        <f t="shared" si="22"/>
        <v>5555144.1431669649</v>
      </c>
      <c r="H110" s="631">
        <f t="shared" si="23"/>
        <v>818501.03093087429</v>
      </c>
      <c r="I110" s="632">
        <f t="shared" si="24"/>
        <v>818501.03093087429</v>
      </c>
      <c r="J110" s="505">
        <f t="shared" si="19"/>
        <v>0</v>
      </c>
      <c r="K110" s="505"/>
      <c r="L110" s="513"/>
      <c r="M110" s="505">
        <f t="shared" si="15"/>
        <v>0</v>
      </c>
      <c r="N110" s="513"/>
      <c r="O110" s="505">
        <f t="shared" si="16"/>
        <v>0</v>
      </c>
      <c r="P110" s="505">
        <f t="shared" si="17"/>
        <v>0</v>
      </c>
      <c r="Q110" s="244"/>
      <c r="R110" s="244"/>
      <c r="S110" s="244"/>
      <c r="T110" s="244"/>
      <c r="U110" s="244"/>
    </row>
    <row r="111" spans="1:21" ht="12.5">
      <c r="B111" s="145" t="str">
        <f t="shared" si="18"/>
        <v/>
      </c>
      <c r="C111" s="496">
        <f>IF(D94="","-",+C110+1)</f>
        <v>2024</v>
      </c>
      <c r="D111" s="350">
        <f>IF(F110+SUM(E$100:E110)=D$93,F110,D$93-SUM(E$100:E110))</f>
        <v>5445897.0371063594</v>
      </c>
      <c r="E111" s="630">
        <f t="shared" si="20"/>
        <v>218494.21212121213</v>
      </c>
      <c r="F111" s="511">
        <f t="shared" si="21"/>
        <v>5227402.8249851475</v>
      </c>
      <c r="G111" s="511">
        <f t="shared" si="22"/>
        <v>5336649.9310457539</v>
      </c>
      <c r="H111" s="631">
        <f t="shared" si="23"/>
        <v>794901.64021039638</v>
      </c>
      <c r="I111" s="632">
        <f t="shared" si="24"/>
        <v>794901.64021039638</v>
      </c>
      <c r="J111" s="505">
        <f t="shared" si="19"/>
        <v>0</v>
      </c>
      <c r="K111" s="505"/>
      <c r="L111" s="513"/>
      <c r="M111" s="505">
        <f t="shared" si="15"/>
        <v>0</v>
      </c>
      <c r="N111" s="513"/>
      <c r="O111" s="505">
        <f t="shared" si="16"/>
        <v>0</v>
      </c>
      <c r="P111" s="505">
        <f t="shared" si="17"/>
        <v>0</v>
      </c>
      <c r="Q111" s="244"/>
      <c r="R111" s="244"/>
      <c r="S111" s="244"/>
      <c r="T111" s="244"/>
      <c r="U111" s="244"/>
    </row>
    <row r="112" spans="1:21" ht="12.5">
      <c r="B112" s="145" t="str">
        <f t="shared" si="18"/>
        <v/>
      </c>
      <c r="C112" s="496">
        <f>IF(D94="","-",+C111+1)</f>
        <v>2025</v>
      </c>
      <c r="D112" s="350">
        <f>IF(F111+SUM(E$100:E111)=D$93,F111,D$93-SUM(E$100:E111))</f>
        <v>5227402.8249851475</v>
      </c>
      <c r="E112" s="630">
        <f t="shared" si="20"/>
        <v>218494.21212121213</v>
      </c>
      <c r="F112" s="511">
        <f t="shared" si="21"/>
        <v>5008908.6128639355</v>
      </c>
      <c r="G112" s="511">
        <f t="shared" si="22"/>
        <v>5118155.718924541</v>
      </c>
      <c r="H112" s="631">
        <f t="shared" si="23"/>
        <v>771302.24948991835</v>
      </c>
      <c r="I112" s="632">
        <f t="shared" si="24"/>
        <v>771302.24948991835</v>
      </c>
      <c r="J112" s="505">
        <f t="shared" si="19"/>
        <v>0</v>
      </c>
      <c r="K112" s="505"/>
      <c r="L112" s="513"/>
      <c r="M112" s="505">
        <f t="shared" si="15"/>
        <v>0</v>
      </c>
      <c r="N112" s="513"/>
      <c r="O112" s="505">
        <f t="shared" si="16"/>
        <v>0</v>
      </c>
      <c r="P112" s="505">
        <f t="shared" si="17"/>
        <v>0</v>
      </c>
      <c r="Q112" s="244"/>
      <c r="R112" s="244"/>
      <c r="S112" s="244"/>
      <c r="T112" s="244"/>
      <c r="U112" s="244"/>
    </row>
    <row r="113" spans="2:21" ht="12.5">
      <c r="B113" s="145" t="str">
        <f t="shared" si="18"/>
        <v/>
      </c>
      <c r="C113" s="496">
        <f>IF(D94="","-",+C112+1)</f>
        <v>2026</v>
      </c>
      <c r="D113" s="350">
        <f>IF(F112+SUM(E$100:E112)=D$93,F112,D$93-SUM(E$100:E112))</f>
        <v>5008908.6128639355</v>
      </c>
      <c r="E113" s="630">
        <f t="shared" si="20"/>
        <v>218494.21212121213</v>
      </c>
      <c r="F113" s="511">
        <f t="shared" si="21"/>
        <v>4790414.4007427236</v>
      </c>
      <c r="G113" s="511">
        <f t="shared" si="22"/>
        <v>4899661.50680333</v>
      </c>
      <c r="H113" s="631">
        <f t="shared" si="23"/>
        <v>747702.85876944056</v>
      </c>
      <c r="I113" s="632">
        <f t="shared" si="24"/>
        <v>747702.85876944056</v>
      </c>
      <c r="J113" s="505">
        <f t="shared" si="19"/>
        <v>0</v>
      </c>
      <c r="K113" s="505"/>
      <c r="L113" s="513"/>
      <c r="M113" s="505">
        <f t="shared" si="15"/>
        <v>0</v>
      </c>
      <c r="N113" s="513"/>
      <c r="O113" s="505">
        <f t="shared" si="16"/>
        <v>0</v>
      </c>
      <c r="P113" s="505">
        <f t="shared" si="17"/>
        <v>0</v>
      </c>
      <c r="Q113" s="244"/>
      <c r="R113" s="244"/>
      <c r="S113" s="244"/>
      <c r="T113" s="244"/>
      <c r="U113" s="244"/>
    </row>
    <row r="114" spans="2:21" ht="12.5">
      <c r="B114" s="145" t="str">
        <f t="shared" si="18"/>
        <v/>
      </c>
      <c r="C114" s="496">
        <f>IF(D94="","-",+C113+1)</f>
        <v>2027</v>
      </c>
      <c r="D114" s="350">
        <f>IF(F113+SUM(E$100:E113)=D$93,F113,D$93-SUM(E$100:E113))</f>
        <v>4790414.4007427236</v>
      </c>
      <c r="E114" s="630">
        <f t="shared" si="20"/>
        <v>218494.21212121213</v>
      </c>
      <c r="F114" s="511">
        <f t="shared" si="21"/>
        <v>4571920.1886215117</v>
      </c>
      <c r="G114" s="511">
        <f t="shared" si="22"/>
        <v>4681167.2946821172</v>
      </c>
      <c r="H114" s="631">
        <f t="shared" si="23"/>
        <v>724103.46804896242</v>
      </c>
      <c r="I114" s="632">
        <f t="shared" si="24"/>
        <v>724103.46804896242</v>
      </c>
      <c r="J114" s="505">
        <f t="shared" si="19"/>
        <v>0</v>
      </c>
      <c r="K114" s="505"/>
      <c r="L114" s="513"/>
      <c r="M114" s="505">
        <f t="shared" si="15"/>
        <v>0</v>
      </c>
      <c r="N114" s="513"/>
      <c r="O114" s="505">
        <f t="shared" si="16"/>
        <v>0</v>
      </c>
      <c r="P114" s="505">
        <f t="shared" si="17"/>
        <v>0</v>
      </c>
      <c r="Q114" s="244"/>
      <c r="R114" s="244"/>
      <c r="S114" s="244"/>
      <c r="T114" s="244"/>
      <c r="U114" s="244"/>
    </row>
    <row r="115" spans="2:21" ht="12.5">
      <c r="B115" s="145" t="str">
        <f t="shared" si="18"/>
        <v/>
      </c>
      <c r="C115" s="496">
        <f>IF(D94="","-",+C114+1)</f>
        <v>2028</v>
      </c>
      <c r="D115" s="350">
        <f>IF(F114+SUM(E$100:E114)=D$93,F114,D$93-SUM(E$100:E114))</f>
        <v>4571920.1886215117</v>
      </c>
      <c r="E115" s="630">
        <f t="shared" si="20"/>
        <v>218494.21212121213</v>
      </c>
      <c r="F115" s="511">
        <f t="shared" si="21"/>
        <v>4353425.9765002998</v>
      </c>
      <c r="G115" s="511">
        <f t="shared" si="22"/>
        <v>4462673.0825609062</v>
      </c>
      <c r="H115" s="631">
        <f t="shared" si="23"/>
        <v>700504.07732848462</v>
      </c>
      <c r="I115" s="632">
        <f t="shared" si="24"/>
        <v>700504.07732848462</v>
      </c>
      <c r="J115" s="505">
        <f t="shared" si="19"/>
        <v>0</v>
      </c>
      <c r="K115" s="505"/>
      <c r="L115" s="513"/>
      <c r="M115" s="505">
        <f t="shared" si="15"/>
        <v>0</v>
      </c>
      <c r="N115" s="513"/>
      <c r="O115" s="505">
        <f t="shared" si="16"/>
        <v>0</v>
      </c>
      <c r="P115" s="505">
        <f t="shared" si="17"/>
        <v>0</v>
      </c>
      <c r="Q115" s="244"/>
      <c r="R115" s="244"/>
      <c r="S115" s="244"/>
      <c r="T115" s="244"/>
      <c r="U115" s="244"/>
    </row>
    <row r="116" spans="2:21" ht="12.5">
      <c r="B116" s="145" t="str">
        <f t="shared" si="18"/>
        <v/>
      </c>
      <c r="C116" s="496">
        <f>IF(D94="","-",+C115+1)</f>
        <v>2029</v>
      </c>
      <c r="D116" s="350">
        <f>IF(F115+SUM(E$100:E115)=D$93,F115,D$93-SUM(E$100:E115))</f>
        <v>4353425.9765002998</v>
      </c>
      <c r="E116" s="630">
        <f t="shared" si="20"/>
        <v>218494.21212121213</v>
      </c>
      <c r="F116" s="511">
        <f t="shared" si="21"/>
        <v>4134931.7643790878</v>
      </c>
      <c r="G116" s="511">
        <f t="shared" si="22"/>
        <v>4244178.8704396933</v>
      </c>
      <c r="H116" s="631">
        <f t="shared" si="23"/>
        <v>676904.6866080066</v>
      </c>
      <c r="I116" s="632">
        <f t="shared" si="24"/>
        <v>676904.6866080066</v>
      </c>
      <c r="J116" s="505">
        <f t="shared" si="19"/>
        <v>0</v>
      </c>
      <c r="K116" s="505"/>
      <c r="L116" s="513"/>
      <c r="M116" s="505">
        <f t="shared" si="15"/>
        <v>0</v>
      </c>
      <c r="N116" s="513"/>
      <c r="O116" s="505">
        <f t="shared" si="16"/>
        <v>0</v>
      </c>
      <c r="P116" s="505">
        <f t="shared" si="17"/>
        <v>0</v>
      </c>
      <c r="Q116" s="244"/>
      <c r="R116" s="244"/>
      <c r="S116" s="244"/>
      <c r="T116" s="244"/>
      <c r="U116" s="244"/>
    </row>
    <row r="117" spans="2:21" ht="12.5">
      <c r="B117" s="145" t="str">
        <f t="shared" si="18"/>
        <v/>
      </c>
      <c r="C117" s="496">
        <f>IF(D94="","-",+C116+1)</f>
        <v>2030</v>
      </c>
      <c r="D117" s="350">
        <f>IF(F116+SUM(E$100:E116)=D$93,F116,D$93-SUM(E$100:E116))</f>
        <v>4134931.7643790878</v>
      </c>
      <c r="E117" s="630">
        <f t="shared" si="20"/>
        <v>218494.21212121213</v>
      </c>
      <c r="F117" s="511">
        <f t="shared" si="21"/>
        <v>3916437.5522578759</v>
      </c>
      <c r="G117" s="511">
        <f t="shared" si="22"/>
        <v>4025684.6583184819</v>
      </c>
      <c r="H117" s="631">
        <f t="shared" si="23"/>
        <v>653305.29588752869</v>
      </c>
      <c r="I117" s="632">
        <f t="shared" si="24"/>
        <v>653305.29588752869</v>
      </c>
      <c r="J117" s="505">
        <f t="shared" si="19"/>
        <v>0</v>
      </c>
      <c r="K117" s="505"/>
      <c r="L117" s="513"/>
      <c r="M117" s="505">
        <f t="shared" si="15"/>
        <v>0</v>
      </c>
      <c r="N117" s="513"/>
      <c r="O117" s="505">
        <f t="shared" si="16"/>
        <v>0</v>
      </c>
      <c r="P117" s="505">
        <f t="shared" si="17"/>
        <v>0</v>
      </c>
      <c r="Q117" s="244"/>
      <c r="R117" s="244"/>
      <c r="S117" s="244"/>
      <c r="T117" s="244"/>
      <c r="U117" s="244"/>
    </row>
    <row r="118" spans="2:21" ht="12.5">
      <c r="B118" s="145" t="str">
        <f t="shared" si="18"/>
        <v/>
      </c>
      <c r="C118" s="496">
        <f>IF(D94="","-",+C117+1)</f>
        <v>2031</v>
      </c>
      <c r="D118" s="350">
        <f>IF(F117+SUM(E$100:E117)=D$93,F117,D$93-SUM(E$100:E117))</f>
        <v>3916437.5522578759</v>
      </c>
      <c r="E118" s="630">
        <f t="shared" si="20"/>
        <v>218494.21212121213</v>
      </c>
      <c r="F118" s="511">
        <f t="shared" si="21"/>
        <v>3697943.340136664</v>
      </c>
      <c r="G118" s="511">
        <f t="shared" si="22"/>
        <v>3807190.44619727</v>
      </c>
      <c r="H118" s="631">
        <f t="shared" si="23"/>
        <v>629705.90516705066</v>
      </c>
      <c r="I118" s="632">
        <f t="shared" si="24"/>
        <v>629705.90516705066</v>
      </c>
      <c r="J118" s="505">
        <f t="shared" si="19"/>
        <v>0</v>
      </c>
      <c r="K118" s="505"/>
      <c r="L118" s="513"/>
      <c r="M118" s="505">
        <f t="shared" si="15"/>
        <v>0</v>
      </c>
      <c r="N118" s="513"/>
      <c r="O118" s="505">
        <f t="shared" si="16"/>
        <v>0</v>
      </c>
      <c r="P118" s="505">
        <f t="shared" si="17"/>
        <v>0</v>
      </c>
      <c r="Q118" s="244"/>
      <c r="R118" s="244"/>
      <c r="S118" s="244"/>
      <c r="T118" s="244"/>
      <c r="U118" s="244"/>
    </row>
    <row r="119" spans="2:21" ht="12.5">
      <c r="B119" s="145" t="str">
        <f t="shared" si="18"/>
        <v/>
      </c>
      <c r="C119" s="496">
        <f>IF(D94="","-",+C118+1)</f>
        <v>2032</v>
      </c>
      <c r="D119" s="350">
        <f>IF(F118+SUM(E$100:E118)=D$93,F118,D$93-SUM(E$100:E118))</f>
        <v>3697943.340136664</v>
      </c>
      <c r="E119" s="630">
        <f t="shared" si="20"/>
        <v>218494.21212121213</v>
      </c>
      <c r="F119" s="511">
        <f t="shared" si="21"/>
        <v>3479449.1280154521</v>
      </c>
      <c r="G119" s="511">
        <f t="shared" si="22"/>
        <v>3588696.234076058</v>
      </c>
      <c r="H119" s="631">
        <f t="shared" si="23"/>
        <v>606106.51444657275</v>
      </c>
      <c r="I119" s="632">
        <f t="shared" si="24"/>
        <v>606106.51444657275</v>
      </c>
      <c r="J119" s="505">
        <f t="shared" si="19"/>
        <v>0</v>
      </c>
      <c r="K119" s="505"/>
      <c r="L119" s="513"/>
      <c r="M119" s="505">
        <f t="shared" si="15"/>
        <v>0</v>
      </c>
      <c r="N119" s="513"/>
      <c r="O119" s="505">
        <f t="shared" si="16"/>
        <v>0</v>
      </c>
      <c r="P119" s="505">
        <f t="shared" si="17"/>
        <v>0</v>
      </c>
      <c r="Q119" s="244"/>
      <c r="R119" s="244"/>
      <c r="S119" s="244"/>
      <c r="T119" s="244"/>
      <c r="U119" s="244"/>
    </row>
    <row r="120" spans="2:21" ht="12.5">
      <c r="B120" s="145" t="str">
        <f t="shared" si="18"/>
        <v/>
      </c>
      <c r="C120" s="496">
        <f>IF(D94="","-",+C119+1)</f>
        <v>2033</v>
      </c>
      <c r="D120" s="350">
        <f>IF(F119+SUM(E$100:E119)=D$93,F119,D$93-SUM(E$100:E119))</f>
        <v>3479449.1280154521</v>
      </c>
      <c r="E120" s="630">
        <f t="shared" si="20"/>
        <v>218494.21212121213</v>
      </c>
      <c r="F120" s="511">
        <f t="shared" si="21"/>
        <v>3260954.9158942401</v>
      </c>
      <c r="G120" s="511">
        <f t="shared" si="22"/>
        <v>3370202.0219548461</v>
      </c>
      <c r="H120" s="631">
        <f t="shared" si="23"/>
        <v>582507.12372609484</v>
      </c>
      <c r="I120" s="632">
        <f t="shared" si="24"/>
        <v>582507.12372609484</v>
      </c>
      <c r="J120" s="505">
        <f t="shared" si="19"/>
        <v>0</v>
      </c>
      <c r="K120" s="505"/>
      <c r="L120" s="513"/>
      <c r="M120" s="505">
        <f t="shared" si="15"/>
        <v>0</v>
      </c>
      <c r="N120" s="513"/>
      <c r="O120" s="505">
        <f t="shared" si="16"/>
        <v>0</v>
      </c>
      <c r="P120" s="505">
        <f t="shared" si="17"/>
        <v>0</v>
      </c>
      <c r="Q120" s="244"/>
      <c r="R120" s="244"/>
      <c r="S120" s="244"/>
      <c r="T120" s="244"/>
      <c r="U120" s="244"/>
    </row>
    <row r="121" spans="2:21" ht="12.5">
      <c r="B121" s="145" t="str">
        <f t="shared" si="18"/>
        <v/>
      </c>
      <c r="C121" s="496">
        <f>IF(D94="","-",+C120+1)</f>
        <v>2034</v>
      </c>
      <c r="D121" s="350">
        <f>IF(F120+SUM(E$100:E120)=D$93,F120,D$93-SUM(E$100:E120))</f>
        <v>3260954.9158942401</v>
      </c>
      <c r="E121" s="630">
        <f t="shared" si="20"/>
        <v>218494.21212121213</v>
      </c>
      <c r="F121" s="511">
        <f t="shared" si="21"/>
        <v>3042460.7037730282</v>
      </c>
      <c r="G121" s="511">
        <f t="shared" si="22"/>
        <v>3151707.8098336342</v>
      </c>
      <c r="H121" s="631">
        <f t="shared" si="23"/>
        <v>558907.73300561681</v>
      </c>
      <c r="I121" s="632">
        <f t="shared" si="24"/>
        <v>558907.73300561681</v>
      </c>
      <c r="J121" s="505">
        <f t="shared" si="19"/>
        <v>0</v>
      </c>
      <c r="K121" s="505"/>
      <c r="L121" s="513"/>
      <c r="M121" s="505">
        <f t="shared" si="15"/>
        <v>0</v>
      </c>
      <c r="N121" s="513"/>
      <c r="O121" s="505">
        <f t="shared" si="16"/>
        <v>0</v>
      </c>
      <c r="P121" s="505">
        <f t="shared" si="17"/>
        <v>0</v>
      </c>
      <c r="Q121" s="244"/>
      <c r="R121" s="244"/>
      <c r="S121" s="244"/>
      <c r="T121" s="244"/>
      <c r="U121" s="244"/>
    </row>
    <row r="122" spans="2:21" ht="12.5">
      <c r="B122" s="145" t="str">
        <f t="shared" si="18"/>
        <v/>
      </c>
      <c r="C122" s="496">
        <f>IF(D94="","-",+C121+1)</f>
        <v>2035</v>
      </c>
      <c r="D122" s="350">
        <f>IF(F121+SUM(E$100:E121)=D$93,F121,D$93-SUM(E$100:E121))</f>
        <v>3042460.7037730282</v>
      </c>
      <c r="E122" s="630">
        <f t="shared" si="20"/>
        <v>218494.21212121213</v>
      </c>
      <c r="F122" s="511">
        <f t="shared" si="21"/>
        <v>2823966.4916518163</v>
      </c>
      <c r="G122" s="511">
        <f t="shared" si="22"/>
        <v>2933213.5977124223</v>
      </c>
      <c r="H122" s="631">
        <f t="shared" si="23"/>
        <v>535308.3422851389</v>
      </c>
      <c r="I122" s="632">
        <f t="shared" si="24"/>
        <v>535308.3422851389</v>
      </c>
      <c r="J122" s="505">
        <f t="shared" si="19"/>
        <v>0</v>
      </c>
      <c r="K122" s="505"/>
      <c r="L122" s="513"/>
      <c r="M122" s="505">
        <f t="shared" si="15"/>
        <v>0</v>
      </c>
      <c r="N122" s="513"/>
      <c r="O122" s="505">
        <f t="shared" si="16"/>
        <v>0</v>
      </c>
      <c r="P122" s="505">
        <f t="shared" si="17"/>
        <v>0</v>
      </c>
      <c r="Q122" s="244"/>
      <c r="R122" s="244"/>
      <c r="S122" s="244"/>
      <c r="T122" s="244"/>
      <c r="U122" s="244"/>
    </row>
    <row r="123" spans="2:21" ht="12.5">
      <c r="B123" s="145" t="str">
        <f t="shared" si="18"/>
        <v/>
      </c>
      <c r="C123" s="496">
        <f>IF(D94="","-",+C122+1)</f>
        <v>2036</v>
      </c>
      <c r="D123" s="350">
        <f>IF(F122+SUM(E$100:E122)=D$93,F122,D$93-SUM(E$100:E122))</f>
        <v>2823966.4916518163</v>
      </c>
      <c r="E123" s="630">
        <f t="shared" si="20"/>
        <v>218494.21212121213</v>
      </c>
      <c r="F123" s="511">
        <f t="shared" si="21"/>
        <v>2605472.2795306044</v>
      </c>
      <c r="G123" s="511">
        <f t="shared" si="22"/>
        <v>2714719.3855912103</v>
      </c>
      <c r="H123" s="631">
        <f t="shared" si="23"/>
        <v>511708.95156466099</v>
      </c>
      <c r="I123" s="632">
        <f t="shared" si="24"/>
        <v>511708.95156466099</v>
      </c>
      <c r="J123" s="505">
        <f t="shared" si="19"/>
        <v>0</v>
      </c>
      <c r="K123" s="505"/>
      <c r="L123" s="513"/>
      <c r="M123" s="505">
        <f t="shared" si="15"/>
        <v>0</v>
      </c>
      <c r="N123" s="513"/>
      <c r="O123" s="505">
        <f t="shared" si="16"/>
        <v>0</v>
      </c>
      <c r="P123" s="505">
        <f t="shared" si="17"/>
        <v>0</v>
      </c>
      <c r="Q123" s="244"/>
      <c r="R123" s="244"/>
      <c r="S123" s="244"/>
      <c r="T123" s="244"/>
      <c r="U123" s="244"/>
    </row>
    <row r="124" spans="2:21" ht="12.5">
      <c r="B124" s="145" t="str">
        <f t="shared" si="18"/>
        <v/>
      </c>
      <c r="C124" s="496">
        <f>IF(D94="","-",+C123+1)</f>
        <v>2037</v>
      </c>
      <c r="D124" s="350">
        <f>IF(F123+SUM(E$100:E123)=D$93,F123,D$93-SUM(E$100:E123))</f>
        <v>2605472.2795306044</v>
      </c>
      <c r="E124" s="630">
        <f t="shared" si="20"/>
        <v>218494.21212121213</v>
      </c>
      <c r="F124" s="511">
        <f t="shared" si="21"/>
        <v>2386978.0674093924</v>
      </c>
      <c r="G124" s="511">
        <f t="shared" si="22"/>
        <v>2496225.1734699984</v>
      </c>
      <c r="H124" s="631">
        <f t="shared" si="23"/>
        <v>488109.56084418308</v>
      </c>
      <c r="I124" s="632">
        <f t="shared" si="24"/>
        <v>488109.56084418308</v>
      </c>
      <c r="J124" s="505">
        <f t="shared" si="19"/>
        <v>0</v>
      </c>
      <c r="K124" s="505"/>
      <c r="L124" s="513"/>
      <c r="M124" s="505">
        <f t="shared" si="15"/>
        <v>0</v>
      </c>
      <c r="N124" s="513"/>
      <c r="O124" s="505">
        <f t="shared" si="16"/>
        <v>0</v>
      </c>
      <c r="P124" s="505">
        <f t="shared" si="17"/>
        <v>0</v>
      </c>
      <c r="Q124" s="244"/>
      <c r="R124" s="244"/>
      <c r="S124" s="244"/>
      <c r="T124" s="244"/>
      <c r="U124" s="244"/>
    </row>
    <row r="125" spans="2:21" ht="12.5">
      <c r="B125" s="145" t="str">
        <f t="shared" si="18"/>
        <v/>
      </c>
      <c r="C125" s="496">
        <f>IF(D94="","-",+C124+1)</f>
        <v>2038</v>
      </c>
      <c r="D125" s="350">
        <f>IF(F124+SUM(E$100:E124)=D$93,F124,D$93-SUM(E$100:E124))</f>
        <v>2386978.0674093924</v>
      </c>
      <c r="E125" s="630">
        <f t="shared" si="20"/>
        <v>218494.21212121213</v>
      </c>
      <c r="F125" s="511">
        <f t="shared" si="21"/>
        <v>2168483.8552881805</v>
      </c>
      <c r="G125" s="511">
        <f t="shared" si="22"/>
        <v>2277730.9613487865</v>
      </c>
      <c r="H125" s="631">
        <f t="shared" si="23"/>
        <v>464510.17012370506</v>
      </c>
      <c r="I125" s="632">
        <f t="shared" si="24"/>
        <v>464510.17012370506</v>
      </c>
      <c r="J125" s="505">
        <f t="shared" si="19"/>
        <v>0</v>
      </c>
      <c r="K125" s="505"/>
      <c r="L125" s="513"/>
      <c r="M125" s="505">
        <f t="shared" si="15"/>
        <v>0</v>
      </c>
      <c r="N125" s="513"/>
      <c r="O125" s="505">
        <f t="shared" si="16"/>
        <v>0</v>
      </c>
      <c r="P125" s="505">
        <f t="shared" si="17"/>
        <v>0</v>
      </c>
      <c r="Q125" s="244"/>
      <c r="R125" s="244"/>
      <c r="S125" s="244"/>
      <c r="T125" s="244"/>
      <c r="U125" s="244"/>
    </row>
    <row r="126" spans="2:21" ht="12.5">
      <c r="B126" s="145" t="str">
        <f t="shared" si="18"/>
        <v/>
      </c>
      <c r="C126" s="496">
        <f>IF(D94="","-",+C125+1)</f>
        <v>2039</v>
      </c>
      <c r="D126" s="350">
        <f>IF(F125+SUM(E$100:E125)=D$93,F125,D$93-SUM(E$100:E125))</f>
        <v>2168483.8552881805</v>
      </c>
      <c r="E126" s="630">
        <f t="shared" si="20"/>
        <v>218494.21212121213</v>
      </c>
      <c r="F126" s="511">
        <f t="shared" si="21"/>
        <v>1949989.6431669684</v>
      </c>
      <c r="G126" s="511">
        <f t="shared" si="22"/>
        <v>2059236.7492275746</v>
      </c>
      <c r="H126" s="631">
        <f t="shared" si="23"/>
        <v>440910.77940322715</v>
      </c>
      <c r="I126" s="632">
        <f t="shared" si="24"/>
        <v>440910.77940322715</v>
      </c>
      <c r="J126" s="505">
        <f t="shared" si="19"/>
        <v>0</v>
      </c>
      <c r="K126" s="505"/>
      <c r="L126" s="513"/>
      <c r="M126" s="505">
        <f t="shared" si="15"/>
        <v>0</v>
      </c>
      <c r="N126" s="513"/>
      <c r="O126" s="505">
        <f t="shared" si="16"/>
        <v>0</v>
      </c>
      <c r="P126" s="505">
        <f t="shared" si="17"/>
        <v>0</v>
      </c>
      <c r="Q126" s="244"/>
      <c r="R126" s="244"/>
      <c r="S126" s="244"/>
      <c r="T126" s="244"/>
      <c r="U126" s="244"/>
    </row>
    <row r="127" spans="2:21" ht="12.5">
      <c r="B127" s="145" t="str">
        <f t="shared" si="18"/>
        <v/>
      </c>
      <c r="C127" s="496">
        <f>IF(D94="","-",+C126+1)</f>
        <v>2040</v>
      </c>
      <c r="D127" s="350">
        <f>IF(F126+SUM(E$100:E126)=D$93,F126,D$93-SUM(E$100:E126))</f>
        <v>1949989.6431669684</v>
      </c>
      <c r="E127" s="630">
        <f t="shared" si="20"/>
        <v>218494.21212121213</v>
      </c>
      <c r="F127" s="511">
        <f t="shared" si="21"/>
        <v>1731495.4310457562</v>
      </c>
      <c r="G127" s="511">
        <f t="shared" si="22"/>
        <v>1840742.5371063622</v>
      </c>
      <c r="H127" s="631">
        <f t="shared" si="23"/>
        <v>417311.38868274912</v>
      </c>
      <c r="I127" s="632">
        <f t="shared" si="24"/>
        <v>417311.38868274912</v>
      </c>
      <c r="J127" s="505">
        <f t="shared" si="19"/>
        <v>0</v>
      </c>
      <c r="K127" s="505"/>
      <c r="L127" s="513"/>
      <c r="M127" s="505">
        <f t="shared" si="15"/>
        <v>0</v>
      </c>
      <c r="N127" s="513"/>
      <c r="O127" s="505">
        <f t="shared" si="16"/>
        <v>0</v>
      </c>
      <c r="P127" s="505">
        <f t="shared" si="17"/>
        <v>0</v>
      </c>
      <c r="Q127" s="244"/>
      <c r="R127" s="244"/>
      <c r="S127" s="244"/>
      <c r="T127" s="244"/>
      <c r="U127" s="244"/>
    </row>
    <row r="128" spans="2:21" ht="12.5">
      <c r="B128" s="145" t="str">
        <f t="shared" si="18"/>
        <v/>
      </c>
      <c r="C128" s="496">
        <f>IF(D94="","-",+C127+1)</f>
        <v>2041</v>
      </c>
      <c r="D128" s="350">
        <f>IF(F127+SUM(E$100:E127)=D$93,F127,D$93-SUM(E$100:E127))</f>
        <v>1731495.4310457562</v>
      </c>
      <c r="E128" s="630">
        <f t="shared" si="20"/>
        <v>218494.21212121213</v>
      </c>
      <c r="F128" s="511">
        <f t="shared" si="21"/>
        <v>1513001.2189245441</v>
      </c>
      <c r="G128" s="511">
        <f t="shared" si="22"/>
        <v>1622248.3249851502</v>
      </c>
      <c r="H128" s="631">
        <f t="shared" si="23"/>
        <v>393711.99796227121</v>
      </c>
      <c r="I128" s="632">
        <f t="shared" si="24"/>
        <v>393711.99796227121</v>
      </c>
      <c r="J128" s="505">
        <f t="shared" si="19"/>
        <v>0</v>
      </c>
      <c r="K128" s="505"/>
      <c r="L128" s="513"/>
      <c r="M128" s="505">
        <f t="shared" si="15"/>
        <v>0</v>
      </c>
      <c r="N128" s="513"/>
      <c r="O128" s="505">
        <f t="shared" si="16"/>
        <v>0</v>
      </c>
      <c r="P128" s="505">
        <f t="shared" si="17"/>
        <v>0</v>
      </c>
      <c r="Q128" s="244"/>
      <c r="R128" s="244"/>
      <c r="S128" s="244"/>
      <c r="T128" s="244"/>
      <c r="U128" s="244"/>
    </row>
    <row r="129" spans="2:21" ht="12.5">
      <c r="B129" s="145" t="str">
        <f t="shared" si="18"/>
        <v/>
      </c>
      <c r="C129" s="496">
        <f>IF(D94="","-",+C128+1)</f>
        <v>2042</v>
      </c>
      <c r="D129" s="350">
        <f>IF(F128+SUM(E$100:E128)=D$93,F128,D$93-SUM(E$100:E128))</f>
        <v>1513001.2189245441</v>
      </c>
      <c r="E129" s="630">
        <f t="shared" si="20"/>
        <v>218494.21212121213</v>
      </c>
      <c r="F129" s="511">
        <f t="shared" si="21"/>
        <v>1294507.0068033319</v>
      </c>
      <c r="G129" s="511">
        <f t="shared" si="22"/>
        <v>1403754.1128639379</v>
      </c>
      <c r="H129" s="631">
        <f t="shared" si="23"/>
        <v>370112.60724179319</v>
      </c>
      <c r="I129" s="632">
        <f t="shared" si="24"/>
        <v>370112.60724179319</v>
      </c>
      <c r="J129" s="505">
        <f t="shared" si="19"/>
        <v>0</v>
      </c>
      <c r="K129" s="505"/>
      <c r="L129" s="513"/>
      <c r="M129" s="505">
        <f t="shared" si="15"/>
        <v>0</v>
      </c>
      <c r="N129" s="513"/>
      <c r="O129" s="505">
        <f t="shared" si="16"/>
        <v>0</v>
      </c>
      <c r="P129" s="505">
        <f t="shared" si="17"/>
        <v>0</v>
      </c>
      <c r="Q129" s="244"/>
      <c r="R129" s="244"/>
      <c r="S129" s="244"/>
      <c r="T129" s="244"/>
      <c r="U129" s="244"/>
    </row>
    <row r="130" spans="2:21" ht="12.5">
      <c r="B130" s="145" t="str">
        <f t="shared" si="18"/>
        <v/>
      </c>
      <c r="C130" s="496">
        <f>IF(D94="","-",+C129+1)</f>
        <v>2043</v>
      </c>
      <c r="D130" s="350">
        <f>IF(F129+SUM(E$100:E129)=D$93,F129,D$93-SUM(E$100:E129))</f>
        <v>1294507.0068033319</v>
      </c>
      <c r="E130" s="630">
        <f t="shared" si="20"/>
        <v>218494.21212121213</v>
      </c>
      <c r="F130" s="511">
        <f t="shared" si="21"/>
        <v>1076012.7946821197</v>
      </c>
      <c r="G130" s="511">
        <f t="shared" si="22"/>
        <v>1185259.9007427259</v>
      </c>
      <c r="H130" s="631">
        <f t="shared" si="23"/>
        <v>346513.21652131528</v>
      </c>
      <c r="I130" s="632">
        <f t="shared" si="24"/>
        <v>346513.21652131528</v>
      </c>
      <c r="J130" s="505">
        <f t="shared" si="19"/>
        <v>0</v>
      </c>
      <c r="K130" s="505"/>
      <c r="L130" s="513"/>
      <c r="M130" s="505">
        <f t="shared" si="15"/>
        <v>0</v>
      </c>
      <c r="N130" s="513"/>
      <c r="O130" s="505">
        <f t="shared" si="16"/>
        <v>0</v>
      </c>
      <c r="P130" s="505">
        <f t="shared" si="17"/>
        <v>0</v>
      </c>
      <c r="Q130" s="244"/>
      <c r="R130" s="244"/>
      <c r="S130" s="244"/>
      <c r="T130" s="244"/>
      <c r="U130" s="244"/>
    </row>
    <row r="131" spans="2:21" ht="12.5">
      <c r="B131" s="145" t="str">
        <f t="shared" si="18"/>
        <v/>
      </c>
      <c r="C131" s="496">
        <f>IF(D94="","-",+C130+1)</f>
        <v>2044</v>
      </c>
      <c r="D131" s="350">
        <f>IF(F130+SUM(E$100:E130)=D$93,F130,D$93-SUM(E$100:E130))</f>
        <v>1076012.7946821197</v>
      </c>
      <c r="E131" s="630">
        <f t="shared" si="20"/>
        <v>218494.21212121213</v>
      </c>
      <c r="F131" s="511">
        <f t="shared" si="21"/>
        <v>857518.58256090758</v>
      </c>
      <c r="G131" s="511">
        <f t="shared" si="22"/>
        <v>966765.68862151366</v>
      </c>
      <c r="H131" s="631">
        <f t="shared" si="23"/>
        <v>322913.82580083725</v>
      </c>
      <c r="I131" s="632">
        <f t="shared" si="24"/>
        <v>322913.82580083725</v>
      </c>
      <c r="J131" s="505">
        <f t="shared" si="19"/>
        <v>0</v>
      </c>
      <c r="K131" s="505"/>
      <c r="L131" s="513"/>
      <c r="M131" s="505">
        <f t="shared" si="15"/>
        <v>0</v>
      </c>
      <c r="N131" s="513"/>
      <c r="O131" s="505">
        <f t="shared" si="16"/>
        <v>0</v>
      </c>
      <c r="P131" s="505">
        <f t="shared" si="17"/>
        <v>0</v>
      </c>
      <c r="Q131" s="244"/>
      <c r="R131" s="244"/>
      <c r="S131" s="244"/>
      <c r="T131" s="244"/>
      <c r="U131" s="244"/>
    </row>
    <row r="132" spans="2:21" ht="12.5">
      <c r="B132" s="145" t="str">
        <f t="shared" si="18"/>
        <v/>
      </c>
      <c r="C132" s="496">
        <f>IF(D94="","-",+C131+1)</f>
        <v>2045</v>
      </c>
      <c r="D132" s="350">
        <f>IF(F131+SUM(E$100:E131)=D$93,F131,D$93-SUM(E$100:E131))</f>
        <v>857518.58256090758</v>
      </c>
      <c r="E132" s="630">
        <f t="shared" si="20"/>
        <v>218494.21212121213</v>
      </c>
      <c r="F132" s="511">
        <f t="shared" si="21"/>
        <v>639024.37043969543</v>
      </c>
      <c r="G132" s="511">
        <f t="shared" si="22"/>
        <v>748271.47650030151</v>
      </c>
      <c r="H132" s="631">
        <f t="shared" si="23"/>
        <v>299314.43508035934</v>
      </c>
      <c r="I132" s="632">
        <f t="shared" si="24"/>
        <v>299314.43508035934</v>
      </c>
      <c r="J132" s="505">
        <f t="shared" si="19"/>
        <v>0</v>
      </c>
      <c r="K132" s="505"/>
      <c r="L132" s="513"/>
      <c r="M132" s="505">
        <f t="shared" ref="M132:M155" si="25">IF(L542&lt;&gt;0,+H542-L542,0)</f>
        <v>0</v>
      </c>
      <c r="N132" s="513"/>
      <c r="O132" s="505">
        <f t="shared" ref="O132:O155" si="26">IF(N542&lt;&gt;0,+I542-N542,0)</f>
        <v>0</v>
      </c>
      <c r="P132" s="505">
        <f t="shared" ref="P132:P155" si="27">+O542-M542</f>
        <v>0</v>
      </c>
      <c r="Q132" s="244"/>
      <c r="R132" s="244"/>
      <c r="S132" s="244"/>
      <c r="T132" s="244"/>
      <c r="U132" s="244"/>
    </row>
    <row r="133" spans="2:21" ht="12.5">
      <c r="B133" s="145" t="str">
        <f t="shared" si="18"/>
        <v/>
      </c>
      <c r="C133" s="496">
        <f>IF(D94="","-",+C132+1)</f>
        <v>2046</v>
      </c>
      <c r="D133" s="350">
        <f>IF(F132+SUM(E$100:E132)=D$93,F132,D$93-SUM(E$100:E132))</f>
        <v>639024.37043969543</v>
      </c>
      <c r="E133" s="630">
        <f t="shared" si="20"/>
        <v>218494.21212121213</v>
      </c>
      <c r="F133" s="511">
        <f t="shared" si="21"/>
        <v>420530.15831848327</v>
      </c>
      <c r="G133" s="511">
        <f t="shared" si="22"/>
        <v>529777.26437908935</v>
      </c>
      <c r="H133" s="631">
        <f t="shared" si="23"/>
        <v>275715.04435988131</v>
      </c>
      <c r="I133" s="632">
        <f t="shared" si="24"/>
        <v>275715.04435988131</v>
      </c>
      <c r="J133" s="505">
        <f t="shared" si="19"/>
        <v>0</v>
      </c>
      <c r="K133" s="505"/>
      <c r="L133" s="513"/>
      <c r="M133" s="505">
        <f t="shared" si="25"/>
        <v>0</v>
      </c>
      <c r="N133" s="513"/>
      <c r="O133" s="505">
        <f t="shared" si="26"/>
        <v>0</v>
      </c>
      <c r="P133" s="505">
        <f t="shared" si="27"/>
        <v>0</v>
      </c>
      <c r="Q133" s="244"/>
      <c r="R133" s="244"/>
      <c r="S133" s="244"/>
      <c r="T133" s="244"/>
      <c r="U133" s="244"/>
    </row>
    <row r="134" spans="2:21" ht="12.5">
      <c r="B134" s="145" t="str">
        <f t="shared" si="18"/>
        <v/>
      </c>
      <c r="C134" s="496">
        <f>IF(D94="","-",+C133+1)</f>
        <v>2047</v>
      </c>
      <c r="D134" s="350">
        <f>IF(F133+SUM(E$100:E133)=D$93,F133,D$93-SUM(E$100:E133))</f>
        <v>420530.15831848327</v>
      </c>
      <c r="E134" s="630">
        <f t="shared" si="20"/>
        <v>218494.21212121213</v>
      </c>
      <c r="F134" s="511">
        <f t="shared" si="21"/>
        <v>202035.94619727114</v>
      </c>
      <c r="G134" s="511">
        <f t="shared" si="22"/>
        <v>311283.05225787719</v>
      </c>
      <c r="H134" s="631">
        <f t="shared" si="23"/>
        <v>252115.65363940338</v>
      </c>
      <c r="I134" s="632">
        <f t="shared" si="24"/>
        <v>252115.65363940338</v>
      </c>
      <c r="J134" s="505">
        <f t="shared" si="19"/>
        <v>0</v>
      </c>
      <c r="K134" s="505"/>
      <c r="L134" s="513"/>
      <c r="M134" s="505">
        <f t="shared" si="25"/>
        <v>0</v>
      </c>
      <c r="N134" s="513"/>
      <c r="O134" s="505">
        <f t="shared" si="26"/>
        <v>0</v>
      </c>
      <c r="P134" s="505">
        <f t="shared" si="27"/>
        <v>0</v>
      </c>
      <c r="Q134" s="244"/>
      <c r="R134" s="244"/>
      <c r="S134" s="244"/>
      <c r="T134" s="244"/>
      <c r="U134" s="244"/>
    </row>
    <row r="135" spans="2:21" ht="12.5">
      <c r="B135" s="145" t="str">
        <f t="shared" si="18"/>
        <v/>
      </c>
      <c r="C135" s="496">
        <f>IF(D94="","-",+C134+1)</f>
        <v>2048</v>
      </c>
      <c r="D135" s="350">
        <f>IF(F134+SUM(E$100:E134)=D$93,F134,D$93-SUM(E$100:E134))</f>
        <v>202035.94619727114</v>
      </c>
      <c r="E135" s="630">
        <f t="shared" si="20"/>
        <v>202035.94619727114</v>
      </c>
      <c r="F135" s="511">
        <f t="shared" si="21"/>
        <v>0</v>
      </c>
      <c r="G135" s="511">
        <f t="shared" si="22"/>
        <v>101017.97309863557</v>
      </c>
      <c r="H135" s="631">
        <f t="shared" si="23"/>
        <v>212946.81927624726</v>
      </c>
      <c r="I135" s="632">
        <f t="shared" si="24"/>
        <v>212946.81927624726</v>
      </c>
      <c r="J135" s="505">
        <f t="shared" si="19"/>
        <v>0</v>
      </c>
      <c r="K135" s="505"/>
      <c r="L135" s="513"/>
      <c r="M135" s="505">
        <f t="shared" si="25"/>
        <v>0</v>
      </c>
      <c r="N135" s="513"/>
      <c r="O135" s="505">
        <f t="shared" si="26"/>
        <v>0</v>
      </c>
      <c r="P135" s="505">
        <f t="shared" si="27"/>
        <v>0</v>
      </c>
      <c r="Q135" s="244"/>
      <c r="R135" s="244"/>
      <c r="S135" s="244"/>
      <c r="T135" s="244"/>
      <c r="U135" s="244"/>
    </row>
    <row r="136" spans="2:21" ht="12.5">
      <c r="B136" s="145" t="str">
        <f t="shared" si="18"/>
        <v/>
      </c>
      <c r="C136" s="496">
        <f>IF(D94="","-",+C135+1)</f>
        <v>2049</v>
      </c>
      <c r="D136" s="350">
        <f>IF(F135+SUM(E$100:E135)=D$93,F135,D$93-SUM(E$100:E135))</f>
        <v>0</v>
      </c>
      <c r="E136" s="630">
        <f t="shared" si="20"/>
        <v>0</v>
      </c>
      <c r="F136" s="511">
        <f t="shared" si="21"/>
        <v>0</v>
      </c>
      <c r="G136" s="511">
        <f t="shared" si="22"/>
        <v>0</v>
      </c>
      <c r="H136" s="631">
        <f t="shared" si="23"/>
        <v>0</v>
      </c>
      <c r="I136" s="632">
        <f t="shared" si="24"/>
        <v>0</v>
      </c>
      <c r="J136" s="505">
        <f t="shared" si="19"/>
        <v>0</v>
      </c>
      <c r="K136" s="505"/>
      <c r="L136" s="513"/>
      <c r="M136" s="505">
        <f t="shared" si="25"/>
        <v>0</v>
      </c>
      <c r="N136" s="513"/>
      <c r="O136" s="505">
        <f t="shared" si="26"/>
        <v>0</v>
      </c>
      <c r="P136" s="505">
        <f t="shared" si="27"/>
        <v>0</v>
      </c>
      <c r="Q136" s="244"/>
      <c r="R136" s="244"/>
      <c r="S136" s="244"/>
      <c r="T136" s="244"/>
      <c r="U136" s="244"/>
    </row>
    <row r="137" spans="2:21" ht="12.5">
      <c r="B137" s="145" t="str">
        <f t="shared" si="18"/>
        <v/>
      </c>
      <c r="C137" s="496">
        <f>IF(D94="","-",+C136+1)</f>
        <v>2050</v>
      </c>
      <c r="D137" s="350">
        <f>IF(F136+SUM(E$100:E136)=D$93,F136,D$93-SUM(E$100:E136))</f>
        <v>0</v>
      </c>
      <c r="E137" s="630">
        <f t="shared" si="20"/>
        <v>0</v>
      </c>
      <c r="F137" s="511">
        <f t="shared" si="21"/>
        <v>0</v>
      </c>
      <c r="G137" s="511">
        <f t="shared" si="22"/>
        <v>0</v>
      </c>
      <c r="H137" s="631">
        <f t="shared" si="23"/>
        <v>0</v>
      </c>
      <c r="I137" s="632">
        <f t="shared" si="24"/>
        <v>0</v>
      </c>
      <c r="J137" s="505">
        <f t="shared" si="19"/>
        <v>0</v>
      </c>
      <c r="K137" s="505"/>
      <c r="L137" s="513"/>
      <c r="M137" s="505">
        <f t="shared" si="25"/>
        <v>0</v>
      </c>
      <c r="N137" s="513"/>
      <c r="O137" s="505">
        <f t="shared" si="26"/>
        <v>0</v>
      </c>
      <c r="P137" s="505">
        <f t="shared" si="27"/>
        <v>0</v>
      </c>
      <c r="Q137" s="244"/>
      <c r="R137" s="244"/>
      <c r="S137" s="244"/>
      <c r="T137" s="244"/>
      <c r="U137" s="244"/>
    </row>
    <row r="138" spans="2:21" ht="12.5">
      <c r="B138" s="145" t="str">
        <f t="shared" si="18"/>
        <v/>
      </c>
      <c r="C138" s="496">
        <f>IF(D94="","-",+C137+1)</f>
        <v>2051</v>
      </c>
      <c r="D138" s="350">
        <f>IF(F137+SUM(E$100:E137)=D$93,F137,D$93-SUM(E$100:E137))</f>
        <v>0</v>
      </c>
      <c r="E138" s="630">
        <f t="shared" si="20"/>
        <v>0</v>
      </c>
      <c r="F138" s="511">
        <f t="shared" si="21"/>
        <v>0</v>
      </c>
      <c r="G138" s="511">
        <f t="shared" si="22"/>
        <v>0</v>
      </c>
      <c r="H138" s="631">
        <f t="shared" si="23"/>
        <v>0</v>
      </c>
      <c r="I138" s="632">
        <f t="shared" si="24"/>
        <v>0</v>
      </c>
      <c r="J138" s="505">
        <f t="shared" si="19"/>
        <v>0</v>
      </c>
      <c r="K138" s="505"/>
      <c r="L138" s="513"/>
      <c r="M138" s="505">
        <f t="shared" si="25"/>
        <v>0</v>
      </c>
      <c r="N138" s="513"/>
      <c r="O138" s="505">
        <f t="shared" si="26"/>
        <v>0</v>
      </c>
      <c r="P138" s="505">
        <f t="shared" si="27"/>
        <v>0</v>
      </c>
      <c r="Q138" s="244"/>
      <c r="R138" s="244"/>
      <c r="S138" s="244"/>
      <c r="T138" s="244"/>
      <c r="U138" s="244"/>
    </row>
    <row r="139" spans="2:21" ht="12.5">
      <c r="B139" s="145" t="str">
        <f t="shared" si="18"/>
        <v/>
      </c>
      <c r="C139" s="496">
        <f>IF(D94="","-",+C138+1)</f>
        <v>2052</v>
      </c>
      <c r="D139" s="350">
        <f>IF(F138+SUM(E$100:E138)=D$93,F138,D$93-SUM(E$100:E138))</f>
        <v>0</v>
      </c>
      <c r="E139" s="630">
        <f t="shared" si="20"/>
        <v>0</v>
      </c>
      <c r="F139" s="511">
        <f t="shared" si="21"/>
        <v>0</v>
      </c>
      <c r="G139" s="511">
        <f t="shared" si="22"/>
        <v>0</v>
      </c>
      <c r="H139" s="631">
        <f t="shared" si="23"/>
        <v>0</v>
      </c>
      <c r="I139" s="632">
        <f t="shared" si="24"/>
        <v>0</v>
      </c>
      <c r="J139" s="505">
        <f t="shared" si="19"/>
        <v>0</v>
      </c>
      <c r="K139" s="505"/>
      <c r="L139" s="513"/>
      <c r="M139" s="505">
        <f t="shared" si="25"/>
        <v>0</v>
      </c>
      <c r="N139" s="513"/>
      <c r="O139" s="505">
        <f t="shared" si="26"/>
        <v>0</v>
      </c>
      <c r="P139" s="505">
        <f t="shared" si="27"/>
        <v>0</v>
      </c>
      <c r="Q139" s="244"/>
      <c r="R139" s="244"/>
      <c r="S139" s="244"/>
      <c r="T139" s="244"/>
      <c r="U139" s="244"/>
    </row>
    <row r="140" spans="2:21" ht="12.5">
      <c r="B140" s="145" t="str">
        <f t="shared" si="18"/>
        <v/>
      </c>
      <c r="C140" s="496">
        <f>IF(D94="","-",+C139+1)</f>
        <v>2053</v>
      </c>
      <c r="D140" s="350">
        <f>IF(F139+SUM(E$100:E139)=D$93,F139,D$93-SUM(E$100:E139))</f>
        <v>0</v>
      </c>
      <c r="E140" s="630">
        <f t="shared" si="20"/>
        <v>0</v>
      </c>
      <c r="F140" s="511">
        <f t="shared" si="21"/>
        <v>0</v>
      </c>
      <c r="G140" s="511">
        <f t="shared" si="22"/>
        <v>0</v>
      </c>
      <c r="H140" s="631">
        <f t="shared" si="23"/>
        <v>0</v>
      </c>
      <c r="I140" s="632">
        <f t="shared" si="24"/>
        <v>0</v>
      </c>
      <c r="J140" s="505">
        <f t="shared" si="19"/>
        <v>0</v>
      </c>
      <c r="K140" s="505"/>
      <c r="L140" s="513"/>
      <c r="M140" s="505">
        <f t="shared" si="25"/>
        <v>0</v>
      </c>
      <c r="N140" s="513"/>
      <c r="O140" s="505">
        <f t="shared" si="26"/>
        <v>0</v>
      </c>
      <c r="P140" s="505">
        <f t="shared" si="27"/>
        <v>0</v>
      </c>
      <c r="Q140" s="244"/>
      <c r="R140" s="244"/>
      <c r="S140" s="244"/>
      <c r="T140" s="244"/>
      <c r="U140" s="244"/>
    </row>
    <row r="141" spans="2:21" ht="12.5">
      <c r="B141" s="145" t="str">
        <f t="shared" si="18"/>
        <v/>
      </c>
      <c r="C141" s="496">
        <f>IF(D94="","-",+C140+1)</f>
        <v>2054</v>
      </c>
      <c r="D141" s="350">
        <f>IF(F140+SUM(E$100:E140)=D$93,F140,D$93-SUM(E$100:E140))</f>
        <v>0</v>
      </c>
      <c r="E141" s="630">
        <f t="shared" si="20"/>
        <v>0</v>
      </c>
      <c r="F141" s="511">
        <f t="shared" si="21"/>
        <v>0</v>
      </c>
      <c r="G141" s="511">
        <f t="shared" si="22"/>
        <v>0</v>
      </c>
      <c r="H141" s="631">
        <f t="shared" si="23"/>
        <v>0</v>
      </c>
      <c r="I141" s="632">
        <f t="shared" si="24"/>
        <v>0</v>
      </c>
      <c r="J141" s="505">
        <f t="shared" si="19"/>
        <v>0</v>
      </c>
      <c r="K141" s="505"/>
      <c r="L141" s="513"/>
      <c r="M141" s="505">
        <f t="shared" si="25"/>
        <v>0</v>
      </c>
      <c r="N141" s="513"/>
      <c r="O141" s="505">
        <f t="shared" si="26"/>
        <v>0</v>
      </c>
      <c r="P141" s="505">
        <f t="shared" si="27"/>
        <v>0</v>
      </c>
      <c r="Q141" s="244"/>
      <c r="R141" s="244"/>
      <c r="S141" s="244"/>
      <c r="T141" s="244"/>
      <c r="U141" s="244"/>
    </row>
    <row r="142" spans="2:21" ht="12.5">
      <c r="B142" s="145" t="str">
        <f t="shared" si="18"/>
        <v/>
      </c>
      <c r="C142" s="496">
        <f>IF(D94="","-",+C141+1)</f>
        <v>2055</v>
      </c>
      <c r="D142" s="350">
        <f>IF(F141+SUM(E$100:E141)=D$93,F141,D$93-SUM(E$100:E141))</f>
        <v>0</v>
      </c>
      <c r="E142" s="630">
        <f t="shared" si="20"/>
        <v>0</v>
      </c>
      <c r="F142" s="511">
        <f t="shared" si="21"/>
        <v>0</v>
      </c>
      <c r="G142" s="511">
        <f t="shared" si="22"/>
        <v>0</v>
      </c>
      <c r="H142" s="631">
        <f t="shared" si="23"/>
        <v>0</v>
      </c>
      <c r="I142" s="632">
        <f t="shared" si="24"/>
        <v>0</v>
      </c>
      <c r="J142" s="505">
        <f t="shared" si="19"/>
        <v>0</v>
      </c>
      <c r="K142" s="505"/>
      <c r="L142" s="513"/>
      <c r="M142" s="505">
        <f t="shared" si="25"/>
        <v>0</v>
      </c>
      <c r="N142" s="513"/>
      <c r="O142" s="505">
        <f t="shared" si="26"/>
        <v>0</v>
      </c>
      <c r="P142" s="505">
        <f t="shared" si="27"/>
        <v>0</v>
      </c>
      <c r="Q142" s="244"/>
      <c r="R142" s="244"/>
      <c r="S142" s="244"/>
      <c r="T142" s="244"/>
      <c r="U142" s="244"/>
    </row>
    <row r="143" spans="2:21" ht="12.5">
      <c r="B143" s="145" t="str">
        <f t="shared" si="18"/>
        <v/>
      </c>
      <c r="C143" s="496">
        <f>IF(D94="","-",+C142+1)</f>
        <v>2056</v>
      </c>
      <c r="D143" s="350">
        <f>IF(F142+SUM(E$100:E142)=D$93,F142,D$93-SUM(E$100:E142))</f>
        <v>0</v>
      </c>
      <c r="E143" s="630">
        <f t="shared" si="20"/>
        <v>0</v>
      </c>
      <c r="F143" s="511">
        <f t="shared" si="21"/>
        <v>0</v>
      </c>
      <c r="G143" s="511">
        <f t="shared" si="22"/>
        <v>0</v>
      </c>
      <c r="H143" s="631">
        <f t="shared" si="23"/>
        <v>0</v>
      </c>
      <c r="I143" s="632">
        <f t="shared" si="24"/>
        <v>0</v>
      </c>
      <c r="J143" s="505">
        <f t="shared" si="19"/>
        <v>0</v>
      </c>
      <c r="K143" s="505"/>
      <c r="L143" s="513"/>
      <c r="M143" s="505">
        <f t="shared" si="25"/>
        <v>0</v>
      </c>
      <c r="N143" s="513"/>
      <c r="O143" s="505">
        <f t="shared" si="26"/>
        <v>0</v>
      </c>
      <c r="P143" s="505">
        <f t="shared" si="27"/>
        <v>0</v>
      </c>
      <c r="Q143" s="244"/>
      <c r="R143" s="244"/>
      <c r="S143" s="244"/>
      <c r="T143" s="244"/>
      <c r="U143" s="244"/>
    </row>
    <row r="144" spans="2:21" ht="12.5">
      <c r="B144" s="145" t="str">
        <f t="shared" si="18"/>
        <v/>
      </c>
      <c r="C144" s="496">
        <f>IF(D94="","-",+C143+1)</f>
        <v>2057</v>
      </c>
      <c r="D144" s="350">
        <f>IF(F143+SUM(E$100:E143)=D$93,F143,D$93-SUM(E$100:E143))</f>
        <v>0</v>
      </c>
      <c r="E144" s="630">
        <f t="shared" si="20"/>
        <v>0</v>
      </c>
      <c r="F144" s="511">
        <f t="shared" si="21"/>
        <v>0</v>
      </c>
      <c r="G144" s="511">
        <f t="shared" si="22"/>
        <v>0</v>
      </c>
      <c r="H144" s="631">
        <f t="shared" si="23"/>
        <v>0</v>
      </c>
      <c r="I144" s="632">
        <f t="shared" si="24"/>
        <v>0</v>
      </c>
      <c r="J144" s="505">
        <f t="shared" si="19"/>
        <v>0</v>
      </c>
      <c r="K144" s="505"/>
      <c r="L144" s="513"/>
      <c r="M144" s="505">
        <f t="shared" si="25"/>
        <v>0</v>
      </c>
      <c r="N144" s="513"/>
      <c r="O144" s="505">
        <f t="shared" si="26"/>
        <v>0</v>
      </c>
      <c r="P144" s="505">
        <f t="shared" si="27"/>
        <v>0</v>
      </c>
      <c r="Q144" s="244"/>
      <c r="R144" s="244"/>
      <c r="S144" s="244"/>
      <c r="T144" s="244"/>
      <c r="U144" s="244"/>
    </row>
    <row r="145" spans="2:21" ht="12.5">
      <c r="B145" s="145" t="str">
        <f t="shared" si="18"/>
        <v/>
      </c>
      <c r="C145" s="496">
        <f>IF(D94="","-",+C144+1)</f>
        <v>2058</v>
      </c>
      <c r="D145" s="350">
        <f>IF(F144+SUM(E$100:E144)=D$93,F144,D$93-SUM(E$100:E144))</f>
        <v>0</v>
      </c>
      <c r="E145" s="630">
        <f t="shared" si="20"/>
        <v>0</v>
      </c>
      <c r="F145" s="511">
        <f t="shared" si="21"/>
        <v>0</v>
      </c>
      <c r="G145" s="511">
        <f t="shared" si="22"/>
        <v>0</v>
      </c>
      <c r="H145" s="631">
        <f t="shared" si="23"/>
        <v>0</v>
      </c>
      <c r="I145" s="632">
        <f t="shared" si="24"/>
        <v>0</v>
      </c>
      <c r="J145" s="505">
        <f t="shared" si="19"/>
        <v>0</v>
      </c>
      <c r="K145" s="505"/>
      <c r="L145" s="513"/>
      <c r="M145" s="505">
        <f t="shared" si="25"/>
        <v>0</v>
      </c>
      <c r="N145" s="513"/>
      <c r="O145" s="505">
        <f t="shared" si="26"/>
        <v>0</v>
      </c>
      <c r="P145" s="505">
        <f t="shared" si="27"/>
        <v>0</v>
      </c>
      <c r="Q145" s="244"/>
      <c r="R145" s="244"/>
      <c r="S145" s="244"/>
      <c r="T145" s="244"/>
      <c r="U145" s="244"/>
    </row>
    <row r="146" spans="2:21" ht="12.5">
      <c r="B146" s="145" t="str">
        <f t="shared" si="18"/>
        <v/>
      </c>
      <c r="C146" s="496">
        <f>IF(D94="","-",+C145+1)</f>
        <v>2059</v>
      </c>
      <c r="D146" s="350">
        <f>IF(F145+SUM(E$100:E145)=D$93,F145,D$93-SUM(E$100:E145))</f>
        <v>0</v>
      </c>
      <c r="E146" s="630">
        <f t="shared" si="20"/>
        <v>0</v>
      </c>
      <c r="F146" s="511">
        <f t="shared" si="21"/>
        <v>0</v>
      </c>
      <c r="G146" s="511">
        <f t="shared" si="22"/>
        <v>0</v>
      </c>
      <c r="H146" s="631">
        <f t="shared" si="23"/>
        <v>0</v>
      </c>
      <c r="I146" s="632">
        <f t="shared" si="24"/>
        <v>0</v>
      </c>
      <c r="J146" s="505">
        <f t="shared" si="19"/>
        <v>0</v>
      </c>
      <c r="K146" s="505"/>
      <c r="L146" s="513"/>
      <c r="M146" s="505">
        <f t="shared" si="25"/>
        <v>0</v>
      </c>
      <c r="N146" s="513"/>
      <c r="O146" s="505">
        <f t="shared" si="26"/>
        <v>0</v>
      </c>
      <c r="P146" s="505">
        <f t="shared" si="27"/>
        <v>0</v>
      </c>
      <c r="Q146" s="244"/>
      <c r="R146" s="244"/>
      <c r="S146" s="244"/>
      <c r="T146" s="244"/>
      <c r="U146" s="244"/>
    </row>
    <row r="147" spans="2:21" ht="12.5">
      <c r="B147" s="145" t="str">
        <f t="shared" si="18"/>
        <v/>
      </c>
      <c r="C147" s="496">
        <f>IF(D94="","-",+C146+1)</f>
        <v>2060</v>
      </c>
      <c r="D147" s="350">
        <f>IF(F146+SUM(E$100:E146)=D$93,F146,D$93-SUM(E$100:E146))</f>
        <v>0</v>
      </c>
      <c r="E147" s="630">
        <f t="shared" si="20"/>
        <v>0</v>
      </c>
      <c r="F147" s="511">
        <f t="shared" si="21"/>
        <v>0</v>
      </c>
      <c r="G147" s="511">
        <f t="shared" si="22"/>
        <v>0</v>
      </c>
      <c r="H147" s="631">
        <f t="shared" si="23"/>
        <v>0</v>
      </c>
      <c r="I147" s="632">
        <f t="shared" si="24"/>
        <v>0</v>
      </c>
      <c r="J147" s="505">
        <f t="shared" si="19"/>
        <v>0</v>
      </c>
      <c r="K147" s="505"/>
      <c r="L147" s="513"/>
      <c r="M147" s="505">
        <f t="shared" si="25"/>
        <v>0</v>
      </c>
      <c r="N147" s="513"/>
      <c r="O147" s="505">
        <f t="shared" si="26"/>
        <v>0</v>
      </c>
      <c r="P147" s="505">
        <f t="shared" si="27"/>
        <v>0</v>
      </c>
      <c r="Q147" s="244"/>
      <c r="R147" s="244"/>
      <c r="S147" s="244"/>
      <c r="T147" s="244"/>
      <c r="U147" s="244"/>
    </row>
    <row r="148" spans="2:21" ht="12.5">
      <c r="B148" s="145" t="str">
        <f t="shared" si="18"/>
        <v/>
      </c>
      <c r="C148" s="496">
        <f>IF(D94="","-",+C147+1)</f>
        <v>2061</v>
      </c>
      <c r="D148" s="350">
        <f>IF(F147+SUM(E$100:E147)=D$93,F147,D$93-SUM(E$100:E147))</f>
        <v>0</v>
      </c>
      <c r="E148" s="630">
        <f t="shared" si="20"/>
        <v>0</v>
      </c>
      <c r="F148" s="511">
        <f t="shared" si="21"/>
        <v>0</v>
      </c>
      <c r="G148" s="511">
        <f t="shared" si="22"/>
        <v>0</v>
      </c>
      <c r="H148" s="631">
        <f t="shared" si="23"/>
        <v>0</v>
      </c>
      <c r="I148" s="632">
        <f t="shared" si="24"/>
        <v>0</v>
      </c>
      <c r="J148" s="505">
        <f t="shared" si="19"/>
        <v>0</v>
      </c>
      <c r="K148" s="505"/>
      <c r="L148" s="513"/>
      <c r="M148" s="505">
        <f t="shared" si="25"/>
        <v>0</v>
      </c>
      <c r="N148" s="513"/>
      <c r="O148" s="505">
        <f t="shared" si="26"/>
        <v>0</v>
      </c>
      <c r="P148" s="505">
        <f t="shared" si="27"/>
        <v>0</v>
      </c>
      <c r="Q148" s="244"/>
      <c r="R148" s="244"/>
      <c r="S148" s="244"/>
      <c r="T148" s="244"/>
      <c r="U148" s="244"/>
    </row>
    <row r="149" spans="2:21" ht="12.5">
      <c r="B149" s="145" t="str">
        <f t="shared" si="18"/>
        <v/>
      </c>
      <c r="C149" s="496">
        <f>IF(D94="","-",+C148+1)</f>
        <v>2062</v>
      </c>
      <c r="D149" s="350">
        <f>IF(F148+SUM(E$100:E148)=D$93,F148,D$93-SUM(E$100:E148))</f>
        <v>0</v>
      </c>
      <c r="E149" s="630">
        <f t="shared" si="20"/>
        <v>0</v>
      </c>
      <c r="F149" s="511">
        <f t="shared" si="21"/>
        <v>0</v>
      </c>
      <c r="G149" s="511">
        <f t="shared" si="22"/>
        <v>0</v>
      </c>
      <c r="H149" s="631">
        <f t="shared" si="23"/>
        <v>0</v>
      </c>
      <c r="I149" s="632">
        <f t="shared" si="24"/>
        <v>0</v>
      </c>
      <c r="J149" s="505">
        <f t="shared" si="19"/>
        <v>0</v>
      </c>
      <c r="K149" s="505"/>
      <c r="L149" s="513"/>
      <c r="M149" s="505">
        <f t="shared" si="25"/>
        <v>0</v>
      </c>
      <c r="N149" s="513"/>
      <c r="O149" s="505">
        <f t="shared" si="26"/>
        <v>0</v>
      </c>
      <c r="P149" s="505">
        <f t="shared" si="27"/>
        <v>0</v>
      </c>
      <c r="Q149" s="244"/>
      <c r="R149" s="244"/>
      <c r="S149" s="244"/>
      <c r="T149" s="244"/>
      <c r="U149" s="244"/>
    </row>
    <row r="150" spans="2:21" ht="12.5">
      <c r="B150" s="145" t="str">
        <f t="shared" si="18"/>
        <v/>
      </c>
      <c r="C150" s="496">
        <f>IF(D94="","-",+C149+1)</f>
        <v>2063</v>
      </c>
      <c r="D150" s="350">
        <f>IF(F149+SUM(E$100:E149)=D$93,F149,D$93-SUM(E$100:E149))</f>
        <v>0</v>
      </c>
      <c r="E150" s="630">
        <f t="shared" si="20"/>
        <v>0</v>
      </c>
      <c r="F150" s="511">
        <f t="shared" si="21"/>
        <v>0</v>
      </c>
      <c r="G150" s="511">
        <f t="shared" si="22"/>
        <v>0</v>
      </c>
      <c r="H150" s="631">
        <f t="shared" si="23"/>
        <v>0</v>
      </c>
      <c r="I150" s="632">
        <f t="shared" si="24"/>
        <v>0</v>
      </c>
      <c r="J150" s="505">
        <f t="shared" si="19"/>
        <v>0</v>
      </c>
      <c r="K150" s="505"/>
      <c r="L150" s="513"/>
      <c r="M150" s="505">
        <f t="shared" si="25"/>
        <v>0</v>
      </c>
      <c r="N150" s="513"/>
      <c r="O150" s="505">
        <f t="shared" si="26"/>
        <v>0</v>
      </c>
      <c r="P150" s="505">
        <f t="shared" si="27"/>
        <v>0</v>
      </c>
      <c r="Q150" s="244"/>
      <c r="R150" s="244"/>
      <c r="S150" s="244"/>
      <c r="T150" s="244"/>
      <c r="U150" s="244"/>
    </row>
    <row r="151" spans="2:21" ht="12.5">
      <c r="B151" s="145" t="str">
        <f t="shared" si="18"/>
        <v/>
      </c>
      <c r="C151" s="496">
        <f>IF(D94="","-",+C150+1)</f>
        <v>2064</v>
      </c>
      <c r="D151" s="350">
        <f>IF(F150+SUM(E$100:E150)=D$93,F150,D$93-SUM(E$100:E150))</f>
        <v>0</v>
      </c>
      <c r="E151" s="630">
        <f t="shared" si="20"/>
        <v>0</v>
      </c>
      <c r="F151" s="511">
        <f t="shared" si="21"/>
        <v>0</v>
      </c>
      <c r="G151" s="511">
        <f t="shared" si="22"/>
        <v>0</v>
      </c>
      <c r="H151" s="631">
        <f t="shared" si="23"/>
        <v>0</v>
      </c>
      <c r="I151" s="632">
        <f t="shared" si="24"/>
        <v>0</v>
      </c>
      <c r="J151" s="505">
        <f t="shared" si="19"/>
        <v>0</v>
      </c>
      <c r="K151" s="505"/>
      <c r="L151" s="513"/>
      <c r="M151" s="505">
        <f t="shared" si="25"/>
        <v>0</v>
      </c>
      <c r="N151" s="513"/>
      <c r="O151" s="505">
        <f t="shared" si="26"/>
        <v>0</v>
      </c>
      <c r="P151" s="505">
        <f t="shared" si="27"/>
        <v>0</v>
      </c>
      <c r="Q151" s="244"/>
      <c r="R151" s="244"/>
      <c r="S151" s="244"/>
      <c r="T151" s="244"/>
      <c r="U151" s="244"/>
    </row>
    <row r="152" spans="2:21" ht="12.5">
      <c r="B152" s="145" t="str">
        <f t="shared" si="18"/>
        <v/>
      </c>
      <c r="C152" s="496">
        <f>IF(D94="","-",+C151+1)</f>
        <v>2065</v>
      </c>
      <c r="D152" s="350">
        <f>IF(F151+SUM(E$100:E151)=D$93,F151,D$93-SUM(E$100:E151))</f>
        <v>0</v>
      </c>
      <c r="E152" s="630">
        <f t="shared" si="20"/>
        <v>0</v>
      </c>
      <c r="F152" s="511">
        <f t="shared" si="21"/>
        <v>0</v>
      </c>
      <c r="G152" s="511">
        <f t="shared" si="22"/>
        <v>0</v>
      </c>
      <c r="H152" s="631">
        <f t="shared" si="23"/>
        <v>0</v>
      </c>
      <c r="I152" s="632">
        <f t="shared" si="24"/>
        <v>0</v>
      </c>
      <c r="J152" s="505">
        <f t="shared" si="19"/>
        <v>0</v>
      </c>
      <c r="K152" s="505"/>
      <c r="L152" s="513"/>
      <c r="M152" s="505">
        <f t="shared" si="25"/>
        <v>0</v>
      </c>
      <c r="N152" s="513"/>
      <c r="O152" s="505">
        <f t="shared" si="26"/>
        <v>0</v>
      </c>
      <c r="P152" s="505">
        <f t="shared" si="27"/>
        <v>0</v>
      </c>
      <c r="Q152" s="244"/>
      <c r="R152" s="244"/>
      <c r="S152" s="244"/>
      <c r="T152" s="244"/>
      <c r="U152" s="244"/>
    </row>
    <row r="153" spans="2:21" ht="12.5">
      <c r="B153" s="145" t="str">
        <f t="shared" si="18"/>
        <v/>
      </c>
      <c r="C153" s="496">
        <f>IF(D94="","-",+C152+1)</f>
        <v>2066</v>
      </c>
      <c r="D153" s="350">
        <f>IF(F152+SUM(E$100:E152)=D$93,F152,D$93-SUM(E$100:E152))</f>
        <v>0</v>
      </c>
      <c r="E153" s="630">
        <f t="shared" si="20"/>
        <v>0</v>
      </c>
      <c r="F153" s="511">
        <f t="shared" si="21"/>
        <v>0</v>
      </c>
      <c r="G153" s="511">
        <f t="shared" si="22"/>
        <v>0</v>
      </c>
      <c r="H153" s="631">
        <f t="shared" si="23"/>
        <v>0</v>
      </c>
      <c r="I153" s="632">
        <f t="shared" si="24"/>
        <v>0</v>
      </c>
      <c r="J153" s="505">
        <f t="shared" si="19"/>
        <v>0</v>
      </c>
      <c r="K153" s="505"/>
      <c r="L153" s="513"/>
      <c r="M153" s="505">
        <f t="shared" si="25"/>
        <v>0</v>
      </c>
      <c r="N153" s="513"/>
      <c r="O153" s="505">
        <f t="shared" si="26"/>
        <v>0</v>
      </c>
      <c r="P153" s="505">
        <f t="shared" si="27"/>
        <v>0</v>
      </c>
      <c r="Q153" s="244"/>
      <c r="R153" s="244"/>
      <c r="S153" s="244"/>
      <c r="T153" s="244"/>
      <c r="U153" s="244"/>
    </row>
    <row r="154" spans="2:21" ht="12.5">
      <c r="B154" s="145" t="str">
        <f t="shared" si="18"/>
        <v/>
      </c>
      <c r="C154" s="496">
        <f>IF(D94="","-",+C153+1)</f>
        <v>2067</v>
      </c>
      <c r="D154" s="350">
        <f>IF(F153+SUM(E$100:E153)=D$93,F153,D$93-SUM(E$100:E153))</f>
        <v>0</v>
      </c>
      <c r="E154" s="630">
        <f t="shared" si="20"/>
        <v>0</v>
      </c>
      <c r="F154" s="511">
        <f t="shared" si="21"/>
        <v>0</v>
      </c>
      <c r="G154" s="511">
        <f t="shared" si="22"/>
        <v>0</v>
      </c>
      <c r="H154" s="631">
        <f t="shared" si="23"/>
        <v>0</v>
      </c>
      <c r="I154" s="632">
        <f t="shared" si="24"/>
        <v>0</v>
      </c>
      <c r="J154" s="505">
        <f t="shared" si="19"/>
        <v>0</v>
      </c>
      <c r="K154" s="505"/>
      <c r="L154" s="513"/>
      <c r="M154" s="505">
        <f t="shared" si="25"/>
        <v>0</v>
      </c>
      <c r="N154" s="513"/>
      <c r="O154" s="505">
        <f t="shared" si="26"/>
        <v>0</v>
      </c>
      <c r="P154" s="505">
        <f t="shared" si="27"/>
        <v>0</v>
      </c>
      <c r="Q154" s="244"/>
      <c r="R154" s="244"/>
      <c r="S154" s="244"/>
      <c r="T154" s="244"/>
      <c r="U154" s="244"/>
    </row>
    <row r="155" spans="2:21" ht="13" thickBot="1">
      <c r="B155" s="145" t="str">
        <f t="shared" si="18"/>
        <v/>
      </c>
      <c r="C155" s="525">
        <f>IF(D94="","-",+C154+1)</f>
        <v>2068</v>
      </c>
      <c r="D155" s="619">
        <f>IF(F154+SUM(E$100:E154)=D$93,F154,D$93-SUM(E$100:E154))</f>
        <v>0</v>
      </c>
      <c r="E155" s="633">
        <f t="shared" si="20"/>
        <v>0</v>
      </c>
      <c r="F155" s="528">
        <f t="shared" si="21"/>
        <v>0</v>
      </c>
      <c r="G155" s="528">
        <f t="shared" si="22"/>
        <v>0</v>
      </c>
      <c r="H155" s="634">
        <f t="shared" si="23"/>
        <v>0</v>
      </c>
      <c r="I155" s="635">
        <f t="shared" si="24"/>
        <v>0</v>
      </c>
      <c r="J155" s="532">
        <f t="shared" si="19"/>
        <v>0</v>
      </c>
      <c r="K155" s="505"/>
      <c r="L155" s="531"/>
      <c r="M155" s="532">
        <f t="shared" si="25"/>
        <v>0</v>
      </c>
      <c r="N155" s="531"/>
      <c r="O155" s="532">
        <f t="shared" si="26"/>
        <v>0</v>
      </c>
      <c r="P155" s="532">
        <f t="shared" si="27"/>
        <v>0</v>
      </c>
      <c r="Q155" s="244"/>
      <c r="R155" s="244"/>
      <c r="S155" s="244"/>
      <c r="T155" s="244"/>
      <c r="U155" s="244"/>
    </row>
    <row r="156" spans="2:21" ht="12.5">
      <c r="C156" s="350" t="s">
        <v>75</v>
      </c>
      <c r="D156" s="295"/>
      <c r="E156" s="295">
        <f>SUM(E100:E155)</f>
        <v>7210309.0000000009</v>
      </c>
      <c r="F156" s="295"/>
      <c r="G156" s="295"/>
      <c r="H156" s="295">
        <f>SUM(H100:H155)</f>
        <v>20816542.549472436</v>
      </c>
      <c r="I156" s="295">
        <f>SUM(I100:I155)</f>
        <v>20816542.549472436</v>
      </c>
      <c r="J156" s="295">
        <f>SUM(J100:J155)</f>
        <v>0</v>
      </c>
      <c r="K156" s="295"/>
      <c r="L156" s="295"/>
      <c r="M156" s="295"/>
      <c r="N156" s="295"/>
      <c r="O156" s="295"/>
      <c r="P156" s="244"/>
      <c r="Q156" s="244"/>
      <c r="R156" s="244"/>
      <c r="S156" s="244"/>
      <c r="T156" s="244"/>
      <c r="U156" s="244"/>
    </row>
    <row r="157" spans="2:21" ht="12.5">
      <c r="C157" s="145" t="s">
        <v>90</v>
      </c>
      <c r="D157" s="293"/>
      <c r="E157" s="244"/>
      <c r="F157" s="244"/>
      <c r="G157" s="244"/>
      <c r="H157" s="244"/>
      <c r="I157" s="326"/>
      <c r="J157" s="326"/>
      <c r="K157" s="295"/>
      <c r="L157" s="326"/>
      <c r="M157" s="326"/>
      <c r="N157" s="326"/>
      <c r="O157" s="326"/>
      <c r="P157" s="244"/>
      <c r="Q157" s="244"/>
      <c r="R157" s="244"/>
      <c r="S157" s="244"/>
      <c r="T157" s="244"/>
      <c r="U157" s="244"/>
    </row>
    <row r="158" spans="2:21" ht="12.5">
      <c r="C158" s="575"/>
      <c r="D158" s="293"/>
      <c r="E158" s="244"/>
      <c r="F158" s="244"/>
      <c r="G158" s="244"/>
      <c r="H158" s="244"/>
      <c r="I158" s="326"/>
      <c r="J158" s="326"/>
      <c r="K158" s="295"/>
      <c r="L158" s="326"/>
      <c r="M158" s="326"/>
      <c r="N158" s="326"/>
      <c r="O158" s="326"/>
      <c r="P158" s="244"/>
      <c r="Q158" s="244"/>
      <c r="R158" s="244"/>
      <c r="S158" s="244"/>
      <c r="T158" s="244"/>
      <c r="U158" s="244"/>
    </row>
    <row r="159" spans="2:21" ht="13">
      <c r="C159" s="620" t="s">
        <v>130</v>
      </c>
      <c r="D159" s="293"/>
      <c r="E159" s="244"/>
      <c r="F159" s="244"/>
      <c r="G159" s="244"/>
      <c r="H159" s="244"/>
      <c r="I159" s="326"/>
      <c r="J159" s="326"/>
      <c r="K159" s="295"/>
      <c r="L159" s="326"/>
      <c r="M159" s="326"/>
      <c r="N159" s="326"/>
      <c r="O159" s="326"/>
      <c r="P159" s="244"/>
      <c r="Q159" s="244"/>
      <c r="R159" s="244"/>
      <c r="S159" s="244"/>
      <c r="T159" s="244"/>
      <c r="U159" s="244"/>
    </row>
    <row r="160" spans="2:21" ht="13">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ht="13">
      <c r="C162" s="576"/>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29" priority="1" stopIfTrue="1" operator="equal">
      <formula>$I$10</formula>
    </cfRule>
  </conditionalFormatting>
  <conditionalFormatting sqref="C100:C155">
    <cfRule type="cellIs" dxfId="28"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9" tint="0.39997558519241921"/>
  </sheetPr>
  <dimension ref="A1:U163"/>
  <sheetViews>
    <sheetView view="pageBreakPreview" zoomScale="78" zoomScaleNormal="100" zoomScaleSheetLayoutView="78" workbookViewId="0">
      <selection activeCell="D10" sqref="D10"/>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"&amp;RIGHT(MID(CELL("filename",$A$1),FIND("]",CELL("filename",$A$1))+1,256),2)&amp;" of "&amp;COUNT('OKT.001:OKT.xyz - blank'!$P$3)-1</f>
        <v>OKT Project 11 of 19</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2500163.2849116144</v>
      </c>
      <c r="P5" s="244"/>
      <c r="R5" s="244"/>
      <c r="S5" s="244"/>
      <c r="T5" s="244"/>
      <c r="U5" s="244"/>
    </row>
    <row r="6" spans="1:21" ht="15.5">
      <c r="C6" s="236"/>
      <c r="D6" s="293"/>
      <c r="E6" s="244"/>
      <c r="F6" s="244"/>
      <c r="G6" s="244"/>
      <c r="H6" s="450"/>
      <c r="I6" s="450"/>
      <c r="J6" s="451"/>
      <c r="K6" s="452" t="s">
        <v>243</v>
      </c>
      <c r="L6" s="453"/>
      <c r="M6" s="279"/>
      <c r="N6" s="454">
        <f>VLOOKUP(I10,C17:I73,6)</f>
        <v>2500163.2849116144</v>
      </c>
      <c r="O6" s="244"/>
      <c r="P6" s="244"/>
      <c r="R6" s="244"/>
      <c r="S6" s="244"/>
      <c r="T6" s="244"/>
      <c r="U6" s="244"/>
    </row>
    <row r="7" spans="1:21" ht="13.5" thickBot="1">
      <c r="C7" s="455" t="s">
        <v>46</v>
      </c>
      <c r="D7" s="456" t="s">
        <v>222</v>
      </c>
      <c r="E7" s="244"/>
      <c r="F7" s="244"/>
      <c r="G7" s="244"/>
      <c r="H7" s="326"/>
      <c r="I7" s="326"/>
      <c r="J7" s="295"/>
      <c r="K7" s="457" t="s">
        <v>47</v>
      </c>
      <c r="L7" s="458"/>
      <c r="M7" s="458"/>
      <c r="N7" s="459">
        <f>+N6-N5</f>
        <v>0</v>
      </c>
      <c r="O7" s="244"/>
      <c r="P7" s="244"/>
      <c r="R7" s="244"/>
      <c r="S7" s="244"/>
      <c r="T7" s="244"/>
      <c r="U7" s="244"/>
    </row>
    <row r="8" spans="1:21" ht="13.5" thickBot="1">
      <c r="C8" s="460"/>
      <c r="D8" s="626" t="s">
        <v>230</v>
      </c>
      <c r="E8" s="462"/>
      <c r="F8" s="462"/>
      <c r="G8" s="462"/>
      <c r="H8" s="462"/>
      <c r="I8" s="462"/>
      <c r="J8" s="463"/>
      <c r="K8" s="462"/>
      <c r="L8" s="462"/>
      <c r="M8" s="462"/>
      <c r="N8" s="462"/>
      <c r="O8" s="463"/>
      <c r="P8" s="249"/>
      <c r="R8" s="244"/>
      <c r="S8" s="244"/>
      <c r="T8" s="244"/>
      <c r="U8" s="244"/>
    </row>
    <row r="9" spans="1:21" ht="13.5" thickBot="1">
      <c r="C9" s="464" t="s">
        <v>48</v>
      </c>
      <c r="D9" s="465" t="s">
        <v>221</v>
      </c>
      <c r="E9" s="466"/>
      <c r="F9" s="466"/>
      <c r="G9" s="466"/>
      <c r="H9" s="466"/>
      <c r="I9" s="467"/>
      <c r="J9" s="468"/>
      <c r="O9" s="469"/>
      <c r="P9" s="279"/>
      <c r="R9" s="244"/>
      <c r="S9" s="244"/>
      <c r="T9" s="244"/>
      <c r="U9" s="244"/>
    </row>
    <row r="10" spans="1:21" ht="13">
      <c r="C10" s="470" t="s">
        <v>49</v>
      </c>
      <c r="D10" s="471">
        <v>20248060</v>
      </c>
      <c r="E10" s="300" t="s">
        <v>50</v>
      </c>
      <c r="F10" s="469"/>
      <c r="G10" s="409"/>
      <c r="H10" s="409"/>
      <c r="I10" s="472">
        <f>+OKT.WS.F.BPU.ATRR.Projected!R100</f>
        <v>2019</v>
      </c>
      <c r="J10" s="468"/>
      <c r="K10" s="295" t="s">
        <v>51</v>
      </c>
      <c r="O10" s="279"/>
      <c r="P10" s="279"/>
      <c r="R10" s="244"/>
      <c r="S10" s="244"/>
      <c r="T10" s="244"/>
      <c r="U10" s="244"/>
    </row>
    <row r="11" spans="1:21" ht="12.5">
      <c r="C11" s="473" t="s">
        <v>52</v>
      </c>
      <c r="D11" s="474">
        <v>2014</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11</v>
      </c>
      <c r="E12" s="473" t="s">
        <v>55</v>
      </c>
      <c r="F12" s="409"/>
      <c r="G12" s="221"/>
      <c r="H12" s="221"/>
      <c r="I12" s="477">
        <f>OKT.WS.F.BPU.ATRR.Projected!$F$78</f>
        <v>0.11749102697326873</v>
      </c>
      <c r="J12" s="414"/>
      <c r="K12" s="145" t="s">
        <v>56</v>
      </c>
      <c r="O12" s="279"/>
      <c r="P12" s="279"/>
      <c r="R12" s="244"/>
      <c r="S12" s="244"/>
      <c r="T12" s="244"/>
      <c r="U12" s="244"/>
    </row>
    <row r="13" spans="1:21" ht="12.5">
      <c r="C13" s="473" t="s">
        <v>57</v>
      </c>
      <c r="D13" s="475">
        <f>+OKT.WS.F.BPU.ATRR.Projected!F$89</f>
        <v>41</v>
      </c>
      <c r="E13" s="473" t="s">
        <v>58</v>
      </c>
      <c r="F13" s="409"/>
      <c r="G13" s="221"/>
      <c r="H13" s="221"/>
      <c r="I13" s="477">
        <f>IF(G5="",I12,OKT.WS.F.BPU.ATRR.Projected!$F$77)</f>
        <v>0.11749102697326873</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493855.12195121951</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73" si="0">IF(D17=F16,"","IU")</f>
        <v>IU</v>
      </c>
      <c r="C17" s="496">
        <f>IF(D11= "","-",D11)</f>
        <v>2014</v>
      </c>
      <c r="D17" s="613">
        <v>19043679.66</v>
      </c>
      <c r="E17" s="621">
        <v>27453.384639991029</v>
      </c>
      <c r="F17" s="613">
        <v>19016226.275360011</v>
      </c>
      <c r="G17" s="621">
        <v>376170.81030765898</v>
      </c>
      <c r="H17" s="618">
        <v>376170.81030765898</v>
      </c>
      <c r="I17" s="585">
        <v>0</v>
      </c>
      <c r="J17" s="501"/>
      <c r="K17" s="502">
        <f t="shared" ref="K17:K22" si="1">G17</f>
        <v>376170.81030765898</v>
      </c>
      <c r="L17" s="503">
        <f t="shared" ref="L17:L22" si="2">IF(K17&lt;&gt;0,+G17-K17,0)</f>
        <v>0</v>
      </c>
      <c r="M17" s="502">
        <f t="shared" ref="M17:M22" si="3">H17</f>
        <v>376170.81030765898</v>
      </c>
      <c r="N17" s="504">
        <f>IF(M17&lt;&gt;0,+H17-M17,0)</f>
        <v>0</v>
      </c>
      <c r="O17" s="505">
        <f>+N17-L17</f>
        <v>0</v>
      </c>
      <c r="P17" s="279"/>
      <c r="R17" s="244"/>
      <c r="S17" s="244"/>
      <c r="T17" s="244"/>
      <c r="U17" s="244"/>
    </row>
    <row r="18" spans="2:21" ht="12.5">
      <c r="B18" s="145" t="str">
        <f t="shared" si="0"/>
        <v/>
      </c>
      <c r="C18" s="496">
        <f>IF(D11="","-",+C17+1)</f>
        <v>2015</v>
      </c>
      <c r="D18" s="615">
        <v>19016226.275360011</v>
      </c>
      <c r="E18" s="614">
        <v>329440.61567989236</v>
      </c>
      <c r="F18" s="615">
        <v>18686785.659680117</v>
      </c>
      <c r="G18" s="614">
        <v>2255402.3674066337</v>
      </c>
      <c r="H18" s="618">
        <v>2255402.3674066337</v>
      </c>
      <c r="I18" s="501">
        <v>0</v>
      </c>
      <c r="J18" s="501"/>
      <c r="K18" s="507">
        <f t="shared" si="1"/>
        <v>2255402.3674066337</v>
      </c>
      <c r="L18" s="508">
        <f t="shared" si="2"/>
        <v>0</v>
      </c>
      <c r="M18" s="507">
        <f t="shared" si="3"/>
        <v>2255402.3674066337</v>
      </c>
      <c r="N18" s="505">
        <f>IF(M18&lt;&gt;0,+H18-M18,0)</f>
        <v>0</v>
      </c>
      <c r="O18" s="505">
        <f>+N18-L18</f>
        <v>0</v>
      </c>
      <c r="P18" s="279"/>
      <c r="R18" s="244"/>
      <c r="S18" s="244"/>
      <c r="T18" s="244"/>
      <c r="U18" s="244"/>
    </row>
    <row r="19" spans="2:21" ht="12.5">
      <c r="B19" s="145" t="str">
        <f t="shared" si="0"/>
        <v>IU</v>
      </c>
      <c r="C19" s="496">
        <f>IF(D11="","-",+C18+1)</f>
        <v>2016</v>
      </c>
      <c r="D19" s="615">
        <v>19821118.999680117</v>
      </c>
      <c r="E19" s="614">
        <v>419288.09601556091</v>
      </c>
      <c r="F19" s="615">
        <v>19401830.903664555</v>
      </c>
      <c r="G19" s="614">
        <v>2512364.7940132553</v>
      </c>
      <c r="H19" s="618">
        <v>2512364.7940132553</v>
      </c>
      <c r="I19" s="501">
        <f>H19-G19</f>
        <v>0</v>
      </c>
      <c r="J19" s="501"/>
      <c r="K19" s="507">
        <f t="shared" si="1"/>
        <v>2512364.7940132553</v>
      </c>
      <c r="L19" s="508">
        <f t="shared" si="2"/>
        <v>0</v>
      </c>
      <c r="M19" s="507">
        <f t="shared" si="3"/>
        <v>2512364.7940132553</v>
      </c>
      <c r="N19" s="505">
        <f t="shared" ref="N19:N73" si="4">IF(M19&lt;&gt;0,+H19-M19,0)</f>
        <v>0</v>
      </c>
      <c r="O19" s="505">
        <f t="shared" ref="O19:O73" si="5">+N19-L19</f>
        <v>0</v>
      </c>
      <c r="P19" s="279"/>
      <c r="R19" s="244"/>
      <c r="S19" s="244"/>
      <c r="T19" s="244"/>
      <c r="U19" s="244"/>
    </row>
    <row r="20" spans="2:21" ht="12.5">
      <c r="B20" s="145" t="str">
        <f t="shared" si="0"/>
        <v>IU</v>
      </c>
      <c r="C20" s="496">
        <f>IF(D11="","-",+C19+1)</f>
        <v>2017</v>
      </c>
      <c r="D20" s="615">
        <v>19471877.903664555</v>
      </c>
      <c r="E20" s="614">
        <v>398116.94637922302</v>
      </c>
      <c r="F20" s="615">
        <v>19073760.957285333</v>
      </c>
      <c r="G20" s="614">
        <v>2516970.1817795802</v>
      </c>
      <c r="H20" s="618">
        <v>2516970.1817795802</v>
      </c>
      <c r="I20" s="501">
        <f t="shared" ref="I20:I73" si="6">H20-G20</f>
        <v>0</v>
      </c>
      <c r="J20" s="501"/>
      <c r="K20" s="507">
        <f t="shared" si="1"/>
        <v>2516970.1817795802</v>
      </c>
      <c r="L20" s="508">
        <f t="shared" si="2"/>
        <v>0</v>
      </c>
      <c r="M20" s="507">
        <f t="shared" si="3"/>
        <v>2516970.1817795802</v>
      </c>
      <c r="N20" s="505">
        <f>IF(M20&lt;&gt;0,+H20-M20,0)</f>
        <v>0</v>
      </c>
      <c r="O20" s="505">
        <f>+N20-L20</f>
        <v>0</v>
      </c>
      <c r="P20" s="279"/>
      <c r="R20" s="244"/>
      <c r="S20" s="244"/>
      <c r="T20" s="244"/>
      <c r="U20" s="244"/>
    </row>
    <row r="21" spans="2:21" ht="12.5">
      <c r="B21" s="145" t="str">
        <f t="shared" si="0"/>
        <v/>
      </c>
      <c r="C21" s="496">
        <f>IF(D11="","-",+C20+1)</f>
        <v>2018</v>
      </c>
      <c r="D21" s="615">
        <v>19073760.957285333</v>
      </c>
      <c r="E21" s="614">
        <v>496575.20652112603</v>
      </c>
      <c r="F21" s="615">
        <v>18577185.750764206</v>
      </c>
      <c r="G21" s="614">
        <v>2409688.5146536361</v>
      </c>
      <c r="H21" s="618">
        <v>2409688.5146536361</v>
      </c>
      <c r="I21" s="501">
        <v>0</v>
      </c>
      <c r="J21" s="501"/>
      <c r="K21" s="507">
        <f t="shared" si="1"/>
        <v>2409688.5146536361</v>
      </c>
      <c r="L21" s="508">
        <f t="shared" si="2"/>
        <v>0</v>
      </c>
      <c r="M21" s="507">
        <f t="shared" si="3"/>
        <v>2409688.5146536361</v>
      </c>
      <c r="N21" s="505">
        <f>IF(M21&lt;&gt;0,+H21-M21,0)</f>
        <v>0</v>
      </c>
      <c r="O21" s="505">
        <f>+N21-L21</f>
        <v>0</v>
      </c>
      <c r="P21" s="279"/>
      <c r="R21" s="244"/>
      <c r="S21" s="244"/>
      <c r="T21" s="244"/>
      <c r="U21" s="244"/>
    </row>
    <row r="22" spans="2:21" ht="12.5">
      <c r="B22" s="145" t="str">
        <f t="shared" si="0"/>
        <v/>
      </c>
      <c r="C22" s="496">
        <f>IF(D11="","-",+C21+1)</f>
        <v>2019</v>
      </c>
      <c r="D22" s="615">
        <v>18577185.750764206</v>
      </c>
      <c r="E22" s="614">
        <v>600534.11201085045</v>
      </c>
      <c r="F22" s="615">
        <v>17976651.638753355</v>
      </c>
      <c r="G22" s="614">
        <v>2500163.2849116144</v>
      </c>
      <c r="H22" s="618">
        <v>2500163.2849116144</v>
      </c>
      <c r="I22" s="501">
        <f t="shared" si="6"/>
        <v>0</v>
      </c>
      <c r="J22" s="501"/>
      <c r="K22" s="507">
        <f t="shared" si="1"/>
        <v>2500163.2849116144</v>
      </c>
      <c r="L22" s="508">
        <f t="shared" si="2"/>
        <v>0</v>
      </c>
      <c r="M22" s="507">
        <f t="shared" si="3"/>
        <v>2500163.2849116144</v>
      </c>
      <c r="N22" s="505">
        <f>IF(M22&lt;&gt;0,+H22-M22,0)</f>
        <v>0</v>
      </c>
      <c r="O22" s="505">
        <f>+N22-L22</f>
        <v>0</v>
      </c>
      <c r="P22" s="279"/>
      <c r="R22" s="244"/>
      <c r="S22" s="244"/>
      <c r="T22" s="244"/>
      <c r="U22" s="244"/>
    </row>
    <row r="23" spans="2:21" ht="12.5">
      <c r="B23" s="145" t="str">
        <f t="shared" si="0"/>
        <v/>
      </c>
      <c r="C23" s="496">
        <f>IF(D11="","-",+C22+1)</f>
        <v>2020</v>
      </c>
      <c r="D23" s="509">
        <f>IF(F22+SUM(E$17:E22)=D$10,F22,D$10-SUM(E$17:E22))</f>
        <v>17976651.638753355</v>
      </c>
      <c r="E23" s="510">
        <f t="shared" ref="E23:E73" si="7">IF(+$I$14&lt;F22,$I$14,D23)</f>
        <v>493855.12195121951</v>
      </c>
      <c r="F23" s="511">
        <f t="shared" ref="F23:F73" si="8">+D23-E23</f>
        <v>17482796.516802136</v>
      </c>
      <c r="G23" s="512">
        <f t="shared" ref="G23:G73" si="9">(D23+F23)/2*I$12+E23</f>
        <v>2576938.6118020164</v>
      </c>
      <c r="H23" s="478">
        <f t="shared" ref="H23:H73" si="10">+(D23+F23)/2*I$13+E23</f>
        <v>2576938.6118020164</v>
      </c>
      <c r="I23" s="501">
        <f t="shared" si="6"/>
        <v>0</v>
      </c>
      <c r="J23" s="501"/>
      <c r="K23" s="513"/>
      <c r="L23" s="505">
        <f t="shared" ref="L23:L73" si="11">IF(K23&lt;&gt;0,+G23-K23,0)</f>
        <v>0</v>
      </c>
      <c r="M23" s="513"/>
      <c r="N23" s="505">
        <f t="shared" si="4"/>
        <v>0</v>
      </c>
      <c r="O23" s="505">
        <f t="shared" si="5"/>
        <v>0</v>
      </c>
      <c r="P23" s="279"/>
      <c r="R23" s="244"/>
      <c r="S23" s="244"/>
      <c r="T23" s="244"/>
      <c r="U23" s="244"/>
    </row>
    <row r="24" spans="2:21" ht="12.5">
      <c r="B24" s="145" t="str">
        <f t="shared" si="0"/>
        <v/>
      </c>
      <c r="C24" s="496">
        <f>IF(D11="","-",+C23+1)</f>
        <v>2021</v>
      </c>
      <c r="D24" s="509">
        <f>IF(F23+SUM(E$17:E23)=D$10,F23,D$10-SUM(E$17:E23))</f>
        <v>17482796.516802136</v>
      </c>
      <c r="E24" s="510">
        <f t="shared" si="7"/>
        <v>493855.12195121951</v>
      </c>
      <c r="F24" s="511">
        <f t="shared" si="8"/>
        <v>16988941.394850917</v>
      </c>
      <c r="G24" s="512">
        <f t="shared" si="9"/>
        <v>2518915.0663479595</v>
      </c>
      <c r="H24" s="478">
        <f t="shared" si="10"/>
        <v>2518915.0663479595</v>
      </c>
      <c r="I24" s="501">
        <f t="shared" si="6"/>
        <v>0</v>
      </c>
      <c r="J24" s="501"/>
      <c r="K24" s="513"/>
      <c r="L24" s="505">
        <f t="shared" si="11"/>
        <v>0</v>
      </c>
      <c r="M24" s="513"/>
      <c r="N24" s="505">
        <f t="shared" si="4"/>
        <v>0</v>
      </c>
      <c r="O24" s="505">
        <f t="shared" si="5"/>
        <v>0</v>
      </c>
      <c r="P24" s="279"/>
      <c r="R24" s="244"/>
      <c r="S24" s="244"/>
      <c r="T24" s="244"/>
      <c r="U24" s="244"/>
    </row>
    <row r="25" spans="2:21" ht="12.5">
      <c r="B25" s="145" t="str">
        <f t="shared" si="0"/>
        <v/>
      </c>
      <c r="C25" s="496">
        <f>IF(D11="","-",+C24+1)</f>
        <v>2022</v>
      </c>
      <c r="D25" s="509">
        <f>IF(F24+SUM(E$17:E24)=D$10,F24,D$10-SUM(E$17:E24))</f>
        <v>16988941.394850917</v>
      </c>
      <c r="E25" s="510">
        <f t="shared" si="7"/>
        <v>493855.12195121951</v>
      </c>
      <c r="F25" s="511">
        <f t="shared" si="8"/>
        <v>16495086.272899698</v>
      </c>
      <c r="G25" s="512">
        <f t="shared" si="9"/>
        <v>2460891.5208939016</v>
      </c>
      <c r="H25" s="478">
        <f t="shared" si="10"/>
        <v>2460891.5208939016</v>
      </c>
      <c r="I25" s="501">
        <f t="shared" si="6"/>
        <v>0</v>
      </c>
      <c r="J25" s="501"/>
      <c r="K25" s="513"/>
      <c r="L25" s="505">
        <f t="shared" si="11"/>
        <v>0</v>
      </c>
      <c r="M25" s="513"/>
      <c r="N25" s="505">
        <f t="shared" si="4"/>
        <v>0</v>
      </c>
      <c r="O25" s="505">
        <f t="shared" si="5"/>
        <v>0</v>
      </c>
      <c r="P25" s="279"/>
      <c r="R25" s="244"/>
      <c r="S25" s="244"/>
      <c r="T25" s="244"/>
      <c r="U25" s="244"/>
    </row>
    <row r="26" spans="2:21" ht="12.5">
      <c r="B26" s="145" t="str">
        <f t="shared" si="0"/>
        <v/>
      </c>
      <c r="C26" s="496">
        <f>IF(D11="","-",+C25+1)</f>
        <v>2023</v>
      </c>
      <c r="D26" s="509">
        <f>IF(F25+SUM(E$17:E25)=D$10,F25,D$10-SUM(E$17:E25))</f>
        <v>16495086.272899698</v>
      </c>
      <c r="E26" s="510">
        <f t="shared" si="7"/>
        <v>493855.12195121951</v>
      </c>
      <c r="F26" s="511">
        <f t="shared" si="8"/>
        <v>16001231.15094848</v>
      </c>
      <c r="G26" s="512">
        <f t="shared" si="9"/>
        <v>2402867.9754398437</v>
      </c>
      <c r="H26" s="478">
        <f t="shared" si="10"/>
        <v>2402867.9754398437</v>
      </c>
      <c r="I26" s="501">
        <f t="shared" si="6"/>
        <v>0</v>
      </c>
      <c r="J26" s="501"/>
      <c r="K26" s="513"/>
      <c r="L26" s="505">
        <f t="shared" si="11"/>
        <v>0</v>
      </c>
      <c r="M26" s="513"/>
      <c r="N26" s="505">
        <f t="shared" si="4"/>
        <v>0</v>
      </c>
      <c r="O26" s="505">
        <f t="shared" si="5"/>
        <v>0</v>
      </c>
      <c r="P26" s="279"/>
      <c r="R26" s="244"/>
      <c r="S26" s="244"/>
      <c r="T26" s="244"/>
      <c r="U26" s="244"/>
    </row>
    <row r="27" spans="2:21" ht="12.5">
      <c r="B27" s="145" t="str">
        <f t="shared" si="0"/>
        <v/>
      </c>
      <c r="C27" s="496">
        <f>IF(D11="","-",+C26+1)</f>
        <v>2024</v>
      </c>
      <c r="D27" s="509">
        <f>IF(F26+SUM(E$17:E26)=D$10,F26,D$10-SUM(E$17:E26))</f>
        <v>16001231.15094848</v>
      </c>
      <c r="E27" s="510">
        <f t="shared" si="7"/>
        <v>493855.12195121951</v>
      </c>
      <c r="F27" s="511">
        <f t="shared" si="8"/>
        <v>15507376.028997261</v>
      </c>
      <c r="G27" s="512">
        <f t="shared" si="9"/>
        <v>2344844.4299857863</v>
      </c>
      <c r="H27" s="478">
        <f t="shared" si="10"/>
        <v>2344844.4299857863</v>
      </c>
      <c r="I27" s="501">
        <f t="shared" si="6"/>
        <v>0</v>
      </c>
      <c r="J27" s="501"/>
      <c r="K27" s="513"/>
      <c r="L27" s="505">
        <f t="shared" si="11"/>
        <v>0</v>
      </c>
      <c r="M27" s="513"/>
      <c r="N27" s="505">
        <f t="shared" si="4"/>
        <v>0</v>
      </c>
      <c r="O27" s="505">
        <f t="shared" si="5"/>
        <v>0</v>
      </c>
      <c r="P27" s="279"/>
      <c r="R27" s="244"/>
      <c r="S27" s="244"/>
      <c r="T27" s="244"/>
      <c r="U27" s="244"/>
    </row>
    <row r="28" spans="2:21" ht="12.5">
      <c r="B28" s="145" t="str">
        <f t="shared" si="0"/>
        <v/>
      </c>
      <c r="C28" s="496">
        <f>IF(D11="","-",+C27+1)</f>
        <v>2025</v>
      </c>
      <c r="D28" s="509">
        <f>IF(F27+SUM(E$17:E27)=D$10,F27,D$10-SUM(E$17:E27))</f>
        <v>15507376.028997261</v>
      </c>
      <c r="E28" s="510">
        <f t="shared" si="7"/>
        <v>493855.12195121951</v>
      </c>
      <c r="F28" s="511">
        <f t="shared" si="8"/>
        <v>15013520.907046042</v>
      </c>
      <c r="G28" s="512">
        <f t="shared" si="9"/>
        <v>2286820.8845317289</v>
      </c>
      <c r="H28" s="478">
        <f t="shared" si="10"/>
        <v>2286820.8845317289</v>
      </c>
      <c r="I28" s="501">
        <f t="shared" si="6"/>
        <v>0</v>
      </c>
      <c r="J28" s="501"/>
      <c r="K28" s="513"/>
      <c r="L28" s="505">
        <f t="shared" si="11"/>
        <v>0</v>
      </c>
      <c r="M28" s="513"/>
      <c r="N28" s="505">
        <f t="shared" si="4"/>
        <v>0</v>
      </c>
      <c r="O28" s="505">
        <f t="shared" si="5"/>
        <v>0</v>
      </c>
      <c r="P28" s="279"/>
      <c r="R28" s="244"/>
      <c r="S28" s="244"/>
      <c r="T28" s="244"/>
      <c r="U28" s="244"/>
    </row>
    <row r="29" spans="2:21" ht="12.5">
      <c r="B29" s="145" t="str">
        <f t="shared" si="0"/>
        <v/>
      </c>
      <c r="C29" s="496">
        <f>IF(D11="","-",+C28+1)</f>
        <v>2026</v>
      </c>
      <c r="D29" s="509">
        <f>IF(F28+SUM(E$17:E28)=D$10,F28,D$10-SUM(E$17:E28))</f>
        <v>15013520.907046042</v>
      </c>
      <c r="E29" s="510">
        <f t="shared" si="7"/>
        <v>493855.12195121951</v>
      </c>
      <c r="F29" s="511">
        <f t="shared" si="8"/>
        <v>14519665.785094824</v>
      </c>
      <c r="G29" s="512">
        <f t="shared" si="9"/>
        <v>2228797.3390776711</v>
      </c>
      <c r="H29" s="478">
        <f t="shared" si="10"/>
        <v>2228797.3390776711</v>
      </c>
      <c r="I29" s="501">
        <f t="shared" si="6"/>
        <v>0</v>
      </c>
      <c r="J29" s="501"/>
      <c r="K29" s="513"/>
      <c r="L29" s="505">
        <f t="shared" si="11"/>
        <v>0</v>
      </c>
      <c r="M29" s="513"/>
      <c r="N29" s="505">
        <f t="shared" si="4"/>
        <v>0</v>
      </c>
      <c r="O29" s="505">
        <f t="shared" si="5"/>
        <v>0</v>
      </c>
      <c r="P29" s="279"/>
      <c r="R29" s="244"/>
      <c r="S29" s="244"/>
      <c r="T29" s="244"/>
      <c r="U29" s="244"/>
    </row>
    <row r="30" spans="2:21" ht="12.5">
      <c r="B30" s="145" t="str">
        <f t="shared" si="0"/>
        <v/>
      </c>
      <c r="C30" s="496">
        <f>IF(D11="","-",+C29+1)</f>
        <v>2027</v>
      </c>
      <c r="D30" s="509">
        <f>IF(F29+SUM(E$17:E29)=D$10,F29,D$10-SUM(E$17:E29))</f>
        <v>14519665.785094824</v>
      </c>
      <c r="E30" s="510">
        <f t="shared" si="7"/>
        <v>493855.12195121951</v>
      </c>
      <c r="F30" s="511">
        <f t="shared" si="8"/>
        <v>14025810.663143605</v>
      </c>
      <c r="G30" s="512">
        <f t="shared" si="9"/>
        <v>2170773.7936236137</v>
      </c>
      <c r="H30" s="478">
        <f t="shared" si="10"/>
        <v>2170773.7936236137</v>
      </c>
      <c r="I30" s="501">
        <f t="shared" si="6"/>
        <v>0</v>
      </c>
      <c r="J30" s="501"/>
      <c r="K30" s="513"/>
      <c r="L30" s="505">
        <f t="shared" si="11"/>
        <v>0</v>
      </c>
      <c r="M30" s="513"/>
      <c r="N30" s="505">
        <f t="shared" si="4"/>
        <v>0</v>
      </c>
      <c r="O30" s="505">
        <f t="shared" si="5"/>
        <v>0</v>
      </c>
      <c r="P30" s="279"/>
      <c r="R30" s="244"/>
      <c r="S30" s="244"/>
      <c r="T30" s="244"/>
      <c r="U30" s="244"/>
    </row>
    <row r="31" spans="2:21" ht="12.5">
      <c r="B31" s="145" t="str">
        <f t="shared" si="0"/>
        <v/>
      </c>
      <c r="C31" s="496">
        <f>IF(D11="","-",+C30+1)</f>
        <v>2028</v>
      </c>
      <c r="D31" s="509">
        <f>IF(F30+SUM(E$17:E30)=D$10,F30,D$10-SUM(E$17:E30))</f>
        <v>14025810.663143605</v>
      </c>
      <c r="E31" s="510">
        <f t="shared" si="7"/>
        <v>493855.12195121951</v>
      </c>
      <c r="F31" s="511">
        <f t="shared" si="8"/>
        <v>13531955.541192386</v>
      </c>
      <c r="G31" s="512">
        <f t="shared" si="9"/>
        <v>2112750.2481695563</v>
      </c>
      <c r="H31" s="478">
        <f t="shared" si="10"/>
        <v>2112750.2481695563</v>
      </c>
      <c r="I31" s="501">
        <f t="shared" si="6"/>
        <v>0</v>
      </c>
      <c r="J31" s="501"/>
      <c r="K31" s="513"/>
      <c r="L31" s="505">
        <f t="shared" si="11"/>
        <v>0</v>
      </c>
      <c r="M31" s="513"/>
      <c r="N31" s="505">
        <f t="shared" si="4"/>
        <v>0</v>
      </c>
      <c r="O31" s="505">
        <f t="shared" si="5"/>
        <v>0</v>
      </c>
      <c r="P31" s="279"/>
      <c r="Q31" s="221"/>
      <c r="R31" s="279"/>
      <c r="S31" s="279"/>
      <c r="T31" s="279"/>
      <c r="U31" s="244"/>
    </row>
    <row r="32" spans="2:21" ht="12.5">
      <c r="B32" s="145" t="str">
        <f t="shared" si="0"/>
        <v/>
      </c>
      <c r="C32" s="496">
        <f>IF(D12="","-",+C31+1)</f>
        <v>2029</v>
      </c>
      <c r="D32" s="509">
        <f>IF(F31+SUM(E$17:E31)=D$10,F31,D$10-SUM(E$17:E31))</f>
        <v>13531955.541192386</v>
      </c>
      <c r="E32" s="510">
        <f>IF(+$I$14&lt;F31,$I$14,D32)</f>
        <v>493855.12195121951</v>
      </c>
      <c r="F32" s="511">
        <f>+D32-E32</f>
        <v>13038100.419241168</v>
      </c>
      <c r="G32" s="512">
        <f t="shared" si="9"/>
        <v>2054726.7027154984</v>
      </c>
      <c r="H32" s="478">
        <f t="shared" si="10"/>
        <v>2054726.7027154984</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0"/>
        <v/>
      </c>
      <c r="C33" s="496">
        <f>IF(D13="","-",+C32+1)</f>
        <v>2030</v>
      </c>
      <c r="D33" s="509">
        <f>IF(F32+SUM(E$17:E32)=D$10,F32,D$10-SUM(E$17:E32))</f>
        <v>13038100.419241168</v>
      </c>
      <c r="E33" s="510">
        <f>IF(+$I$14&lt;F32,$I$14,D33)</f>
        <v>493855.12195121951</v>
      </c>
      <c r="F33" s="511">
        <f>+D33-E33</f>
        <v>12544245.297289949</v>
      </c>
      <c r="G33" s="512">
        <f t="shared" si="9"/>
        <v>1996703.157261441</v>
      </c>
      <c r="H33" s="478">
        <f t="shared" si="10"/>
        <v>1996703.157261441</v>
      </c>
      <c r="I33" s="501">
        <f>H33-G33</f>
        <v>0</v>
      </c>
      <c r="J33" s="501"/>
      <c r="K33" s="513"/>
      <c r="L33" s="505">
        <f>IF(K33&lt;&gt;0,+G33-K33,0)</f>
        <v>0</v>
      </c>
      <c r="M33" s="513"/>
      <c r="N33" s="505">
        <f>IF(M33&lt;&gt;0,+H33-M33,0)</f>
        <v>0</v>
      </c>
      <c r="O33" s="505">
        <f>+N33-L33</f>
        <v>0</v>
      </c>
      <c r="P33" s="279"/>
      <c r="R33" s="244"/>
      <c r="S33" s="244"/>
      <c r="T33" s="244"/>
      <c r="U33" s="244"/>
    </row>
    <row r="34" spans="2:21" ht="12.5">
      <c r="B34" s="145" t="str">
        <f t="shared" si="0"/>
        <v/>
      </c>
      <c r="C34" s="514">
        <f>IF(D11="","-",+C33+1)</f>
        <v>2031</v>
      </c>
      <c r="D34" s="515">
        <f>IF(F33+SUM(E$17:E33)=D$10,F33,D$10-SUM(E$17:E33))</f>
        <v>12544245.297289949</v>
      </c>
      <c r="E34" s="516">
        <f t="shared" si="7"/>
        <v>493855.12195121951</v>
      </c>
      <c r="F34" s="517">
        <f t="shared" si="8"/>
        <v>12050390.17533873</v>
      </c>
      <c r="G34" s="512">
        <f t="shared" si="9"/>
        <v>1938679.6118073836</v>
      </c>
      <c r="H34" s="478">
        <f t="shared" si="10"/>
        <v>1938679.6118073836</v>
      </c>
      <c r="I34" s="520">
        <f t="shared" si="6"/>
        <v>0</v>
      </c>
      <c r="J34" s="520"/>
      <c r="K34" s="521"/>
      <c r="L34" s="522">
        <f t="shared" si="11"/>
        <v>0</v>
      </c>
      <c r="M34" s="521"/>
      <c r="N34" s="522">
        <f t="shared" si="4"/>
        <v>0</v>
      </c>
      <c r="O34" s="522">
        <f t="shared" si="5"/>
        <v>0</v>
      </c>
      <c r="P34" s="523"/>
      <c r="Q34" s="217"/>
      <c r="R34" s="523"/>
      <c r="S34" s="523"/>
      <c r="T34" s="523"/>
      <c r="U34" s="244"/>
    </row>
    <row r="35" spans="2:21" ht="12.5">
      <c r="B35" s="145" t="str">
        <f t="shared" si="0"/>
        <v/>
      </c>
      <c r="C35" s="496">
        <f>IF(D11="","-",+C34+1)</f>
        <v>2032</v>
      </c>
      <c r="D35" s="509">
        <f>IF(F34+SUM(E$17:E34)=D$10,F34,D$10-SUM(E$17:E34))</f>
        <v>12050390.17533873</v>
      </c>
      <c r="E35" s="510">
        <f t="shared" si="7"/>
        <v>493855.12195121951</v>
      </c>
      <c r="F35" s="511">
        <f t="shared" si="8"/>
        <v>11556535.053387512</v>
      </c>
      <c r="G35" s="512">
        <f t="shared" si="9"/>
        <v>1880656.0663533257</v>
      </c>
      <c r="H35" s="478">
        <f t="shared" si="10"/>
        <v>1880656.0663533257</v>
      </c>
      <c r="I35" s="501">
        <f t="shared" si="6"/>
        <v>0</v>
      </c>
      <c r="J35" s="501"/>
      <c r="K35" s="513"/>
      <c r="L35" s="505">
        <f t="shared" si="11"/>
        <v>0</v>
      </c>
      <c r="M35" s="513"/>
      <c r="N35" s="505">
        <f t="shared" si="4"/>
        <v>0</v>
      </c>
      <c r="O35" s="505">
        <f t="shared" si="5"/>
        <v>0</v>
      </c>
      <c r="P35" s="279"/>
      <c r="R35" s="244"/>
      <c r="S35" s="244"/>
      <c r="T35" s="244"/>
      <c r="U35" s="244"/>
    </row>
    <row r="36" spans="2:21" ht="12.5">
      <c r="B36" s="145" t="str">
        <f t="shared" si="0"/>
        <v/>
      </c>
      <c r="C36" s="496">
        <f>IF(D11="","-",+C35+1)</f>
        <v>2033</v>
      </c>
      <c r="D36" s="509">
        <f>IF(F35+SUM(E$17:E35)=D$10,F35,D$10-SUM(E$17:E35))</f>
        <v>11556535.053387512</v>
      </c>
      <c r="E36" s="510">
        <f t="shared" si="7"/>
        <v>493855.12195121951</v>
      </c>
      <c r="F36" s="511">
        <f t="shared" si="8"/>
        <v>11062679.931436293</v>
      </c>
      <c r="G36" s="512">
        <f t="shared" si="9"/>
        <v>1822632.5208992683</v>
      </c>
      <c r="H36" s="478">
        <f t="shared" si="10"/>
        <v>1822632.5208992683</v>
      </c>
      <c r="I36" s="501">
        <f t="shared" si="6"/>
        <v>0</v>
      </c>
      <c r="J36" s="501"/>
      <c r="K36" s="513"/>
      <c r="L36" s="505">
        <f t="shared" si="11"/>
        <v>0</v>
      </c>
      <c r="M36" s="513"/>
      <c r="N36" s="505">
        <f t="shared" si="4"/>
        <v>0</v>
      </c>
      <c r="O36" s="505">
        <f t="shared" si="5"/>
        <v>0</v>
      </c>
      <c r="P36" s="279"/>
      <c r="R36" s="244"/>
      <c r="S36" s="244"/>
      <c r="T36" s="244"/>
      <c r="U36" s="244"/>
    </row>
    <row r="37" spans="2:21" ht="12.5">
      <c r="B37" s="145" t="str">
        <f t="shared" si="0"/>
        <v/>
      </c>
      <c r="C37" s="496">
        <f>IF(D11="","-",+C36+1)</f>
        <v>2034</v>
      </c>
      <c r="D37" s="509">
        <f>IF(F36+SUM(E$17:E36)=D$10,F36,D$10-SUM(E$17:E36))</f>
        <v>11062679.931436293</v>
      </c>
      <c r="E37" s="510">
        <f t="shared" si="7"/>
        <v>493855.12195121951</v>
      </c>
      <c r="F37" s="511">
        <f t="shared" si="8"/>
        <v>10568824.809485074</v>
      </c>
      <c r="G37" s="512">
        <f t="shared" si="9"/>
        <v>1764608.9754452109</v>
      </c>
      <c r="H37" s="478">
        <f t="shared" si="10"/>
        <v>1764608.9754452109</v>
      </c>
      <c r="I37" s="501">
        <f t="shared" si="6"/>
        <v>0</v>
      </c>
      <c r="J37" s="501"/>
      <c r="K37" s="513"/>
      <c r="L37" s="505">
        <f t="shared" si="11"/>
        <v>0</v>
      </c>
      <c r="M37" s="513"/>
      <c r="N37" s="505">
        <f t="shared" si="4"/>
        <v>0</v>
      </c>
      <c r="O37" s="505">
        <f t="shared" si="5"/>
        <v>0</v>
      </c>
      <c r="P37" s="279"/>
      <c r="R37" s="244"/>
      <c r="S37" s="244"/>
      <c r="T37" s="244"/>
      <c r="U37" s="244"/>
    </row>
    <row r="38" spans="2:21" ht="12.5">
      <c r="B38" s="145" t="str">
        <f t="shared" si="0"/>
        <v/>
      </c>
      <c r="C38" s="496">
        <f>IF(D11="","-",+C37+1)</f>
        <v>2035</v>
      </c>
      <c r="D38" s="509">
        <f>IF(F37+SUM(E$17:E37)=D$10,F37,D$10-SUM(E$17:E37))</f>
        <v>10568824.809485074</v>
      </c>
      <c r="E38" s="510">
        <f t="shared" si="7"/>
        <v>493855.12195121951</v>
      </c>
      <c r="F38" s="511">
        <f t="shared" si="8"/>
        <v>10074969.687533855</v>
      </c>
      <c r="G38" s="512">
        <f t="shared" si="9"/>
        <v>1706585.4299911535</v>
      </c>
      <c r="H38" s="478">
        <f t="shared" si="10"/>
        <v>1706585.4299911535</v>
      </c>
      <c r="I38" s="501">
        <f t="shared" si="6"/>
        <v>0</v>
      </c>
      <c r="J38" s="501"/>
      <c r="K38" s="513"/>
      <c r="L38" s="505">
        <f t="shared" si="11"/>
        <v>0</v>
      </c>
      <c r="M38" s="513"/>
      <c r="N38" s="505">
        <f t="shared" si="4"/>
        <v>0</v>
      </c>
      <c r="O38" s="505">
        <f t="shared" si="5"/>
        <v>0</v>
      </c>
      <c r="P38" s="279"/>
      <c r="R38" s="244"/>
      <c r="S38" s="244"/>
      <c r="T38" s="244"/>
      <c r="U38" s="244"/>
    </row>
    <row r="39" spans="2:21" ht="12.5">
      <c r="B39" s="145" t="str">
        <f t="shared" si="0"/>
        <v/>
      </c>
      <c r="C39" s="496">
        <f>IF(D11="","-",+C38+1)</f>
        <v>2036</v>
      </c>
      <c r="D39" s="509">
        <f>IF(F38+SUM(E$17:E38)=D$10,F38,D$10-SUM(E$17:E38))</f>
        <v>10074969.687533855</v>
      </c>
      <c r="E39" s="510">
        <f t="shared" si="7"/>
        <v>493855.12195121951</v>
      </c>
      <c r="F39" s="511">
        <f t="shared" si="8"/>
        <v>9581114.5655826367</v>
      </c>
      <c r="G39" s="512">
        <f t="shared" si="9"/>
        <v>1648561.8845370957</v>
      </c>
      <c r="H39" s="478">
        <f t="shared" si="10"/>
        <v>1648561.8845370957</v>
      </c>
      <c r="I39" s="501">
        <f t="shared" si="6"/>
        <v>0</v>
      </c>
      <c r="J39" s="501"/>
      <c r="K39" s="513"/>
      <c r="L39" s="505">
        <f t="shared" si="11"/>
        <v>0</v>
      </c>
      <c r="M39" s="513"/>
      <c r="N39" s="505">
        <f t="shared" si="4"/>
        <v>0</v>
      </c>
      <c r="O39" s="505">
        <f t="shared" si="5"/>
        <v>0</v>
      </c>
      <c r="P39" s="279"/>
      <c r="R39" s="244"/>
      <c r="S39" s="244"/>
      <c r="T39" s="244"/>
      <c r="U39" s="244"/>
    </row>
    <row r="40" spans="2:21" ht="12.5">
      <c r="B40" s="145" t="str">
        <f t="shared" si="0"/>
        <v/>
      </c>
      <c r="C40" s="496">
        <f>IF(D11="","-",+C39+1)</f>
        <v>2037</v>
      </c>
      <c r="D40" s="509">
        <f>IF(F39+SUM(E$17:E39)=D$10,F39,D$10-SUM(E$17:E39))</f>
        <v>9581114.5655826367</v>
      </c>
      <c r="E40" s="510">
        <f t="shared" si="7"/>
        <v>493855.12195121951</v>
      </c>
      <c r="F40" s="511">
        <f t="shared" si="8"/>
        <v>9087259.443631418</v>
      </c>
      <c r="G40" s="512">
        <f t="shared" si="9"/>
        <v>1590538.3390830383</v>
      </c>
      <c r="H40" s="478">
        <f t="shared" si="10"/>
        <v>1590538.3390830383</v>
      </c>
      <c r="I40" s="501">
        <f t="shared" si="6"/>
        <v>0</v>
      </c>
      <c r="J40" s="501"/>
      <c r="K40" s="513"/>
      <c r="L40" s="505">
        <f t="shared" si="11"/>
        <v>0</v>
      </c>
      <c r="M40" s="513"/>
      <c r="N40" s="505">
        <f t="shared" si="4"/>
        <v>0</v>
      </c>
      <c r="O40" s="505">
        <f t="shared" si="5"/>
        <v>0</v>
      </c>
      <c r="P40" s="279"/>
      <c r="R40" s="244"/>
      <c r="S40" s="244"/>
      <c r="T40" s="244"/>
      <c r="U40" s="244"/>
    </row>
    <row r="41" spans="2:21" ht="12.5">
      <c r="B41" s="145" t="str">
        <f t="shared" si="0"/>
        <v/>
      </c>
      <c r="C41" s="496">
        <f>IF(D12="","-",+C40+1)</f>
        <v>2038</v>
      </c>
      <c r="D41" s="509">
        <f>IF(F40+SUM(E$17:E40)=D$10,F40,D$10-SUM(E$17:E40))</f>
        <v>9087259.443631418</v>
      </c>
      <c r="E41" s="510">
        <f t="shared" si="7"/>
        <v>493855.12195121951</v>
      </c>
      <c r="F41" s="511">
        <f t="shared" si="8"/>
        <v>8593404.3216801994</v>
      </c>
      <c r="G41" s="512">
        <f t="shared" si="9"/>
        <v>1532514.7936289806</v>
      </c>
      <c r="H41" s="478">
        <f t="shared" si="10"/>
        <v>1532514.7936289806</v>
      </c>
      <c r="I41" s="501">
        <f t="shared" si="6"/>
        <v>0</v>
      </c>
      <c r="J41" s="501"/>
      <c r="K41" s="513"/>
      <c r="L41" s="505">
        <f t="shared" si="11"/>
        <v>0</v>
      </c>
      <c r="M41" s="513"/>
      <c r="N41" s="505">
        <f t="shared" si="4"/>
        <v>0</v>
      </c>
      <c r="O41" s="505">
        <f t="shared" si="5"/>
        <v>0</v>
      </c>
      <c r="P41" s="279"/>
      <c r="R41" s="244"/>
      <c r="S41" s="244"/>
      <c r="T41" s="244"/>
      <c r="U41" s="244"/>
    </row>
    <row r="42" spans="2:21" ht="12.5">
      <c r="B42" s="145" t="str">
        <f t="shared" si="0"/>
        <v/>
      </c>
      <c r="C42" s="496">
        <f>IF(D13="","-",+C41+1)</f>
        <v>2039</v>
      </c>
      <c r="D42" s="509">
        <f>IF(F41+SUM(E$17:E41)=D$10,F41,D$10-SUM(E$17:E41))</f>
        <v>8593404.3216801994</v>
      </c>
      <c r="E42" s="510">
        <f t="shared" si="7"/>
        <v>493855.12195121951</v>
      </c>
      <c r="F42" s="511">
        <f t="shared" si="8"/>
        <v>8099549.1997289797</v>
      </c>
      <c r="G42" s="512">
        <f t="shared" si="9"/>
        <v>1474491.248174923</v>
      </c>
      <c r="H42" s="478">
        <f t="shared" si="10"/>
        <v>1474491.248174923</v>
      </c>
      <c r="I42" s="501">
        <f t="shared" si="6"/>
        <v>0</v>
      </c>
      <c r="J42" s="501"/>
      <c r="K42" s="513"/>
      <c r="L42" s="505">
        <f t="shared" si="11"/>
        <v>0</v>
      </c>
      <c r="M42" s="513"/>
      <c r="N42" s="505">
        <f t="shared" si="4"/>
        <v>0</v>
      </c>
      <c r="O42" s="505">
        <f t="shared" si="5"/>
        <v>0</v>
      </c>
      <c r="P42" s="279"/>
      <c r="R42" s="244"/>
      <c r="S42" s="244"/>
      <c r="T42" s="244"/>
      <c r="U42" s="244"/>
    </row>
    <row r="43" spans="2:21" ht="12.5">
      <c r="B43" s="145" t="str">
        <f t="shared" si="0"/>
        <v/>
      </c>
      <c r="C43" s="496">
        <f>IF(D11="","-",+C42+1)</f>
        <v>2040</v>
      </c>
      <c r="D43" s="509">
        <f>IF(F42+SUM(E$17:E42)=D$10,F42,D$10-SUM(E$17:E42))</f>
        <v>8099549.1997289797</v>
      </c>
      <c r="E43" s="510">
        <f t="shared" si="7"/>
        <v>493855.12195121951</v>
      </c>
      <c r="F43" s="511">
        <f t="shared" si="8"/>
        <v>7605694.0777777601</v>
      </c>
      <c r="G43" s="512">
        <f t="shared" si="9"/>
        <v>1416467.7027208654</v>
      </c>
      <c r="H43" s="478">
        <f t="shared" si="10"/>
        <v>1416467.7027208654</v>
      </c>
      <c r="I43" s="501">
        <f t="shared" si="6"/>
        <v>0</v>
      </c>
      <c r="J43" s="501"/>
      <c r="K43" s="513"/>
      <c r="L43" s="505">
        <f t="shared" si="11"/>
        <v>0</v>
      </c>
      <c r="M43" s="513"/>
      <c r="N43" s="505">
        <f t="shared" si="4"/>
        <v>0</v>
      </c>
      <c r="O43" s="505">
        <f t="shared" si="5"/>
        <v>0</v>
      </c>
      <c r="P43" s="279"/>
      <c r="R43" s="244"/>
      <c r="S43" s="244"/>
      <c r="T43" s="244"/>
      <c r="U43" s="244"/>
    </row>
    <row r="44" spans="2:21" ht="12.5">
      <c r="B44" s="145" t="str">
        <f t="shared" si="0"/>
        <v/>
      </c>
      <c r="C44" s="496">
        <f>IF(D11="","-",+C43+1)</f>
        <v>2041</v>
      </c>
      <c r="D44" s="509">
        <f>IF(F43+SUM(E$17:E43)=D$10,F43,D$10-SUM(E$17:E43))</f>
        <v>7605694.0777777601</v>
      </c>
      <c r="E44" s="510">
        <f t="shared" si="7"/>
        <v>493855.12195121951</v>
      </c>
      <c r="F44" s="511">
        <f t="shared" si="8"/>
        <v>7111838.9558265405</v>
      </c>
      <c r="G44" s="512">
        <f t="shared" si="9"/>
        <v>1358444.1572668077</v>
      </c>
      <c r="H44" s="478">
        <f t="shared" si="10"/>
        <v>1358444.1572668077</v>
      </c>
      <c r="I44" s="501">
        <f t="shared" si="6"/>
        <v>0</v>
      </c>
      <c r="J44" s="501"/>
      <c r="K44" s="513"/>
      <c r="L44" s="505">
        <f t="shared" si="11"/>
        <v>0</v>
      </c>
      <c r="M44" s="513"/>
      <c r="N44" s="505">
        <f t="shared" si="4"/>
        <v>0</v>
      </c>
      <c r="O44" s="505">
        <f t="shared" si="5"/>
        <v>0</v>
      </c>
      <c r="P44" s="279"/>
      <c r="R44" s="244"/>
      <c r="S44" s="244"/>
      <c r="T44" s="244"/>
      <c r="U44" s="244"/>
    </row>
    <row r="45" spans="2:21" ht="12.5">
      <c r="B45" s="145" t="str">
        <f t="shared" si="0"/>
        <v/>
      </c>
      <c r="C45" s="496">
        <f>IF(D11="","-",+C44+1)</f>
        <v>2042</v>
      </c>
      <c r="D45" s="509">
        <f>IF(F44+SUM(E$17:E44)=D$10,F44,D$10-SUM(E$17:E44))</f>
        <v>7111838.9558265405</v>
      </c>
      <c r="E45" s="510">
        <f t="shared" si="7"/>
        <v>493855.12195121951</v>
      </c>
      <c r="F45" s="511">
        <f t="shared" si="8"/>
        <v>6617983.8338753209</v>
      </c>
      <c r="G45" s="512">
        <f t="shared" si="9"/>
        <v>1300420.6118127499</v>
      </c>
      <c r="H45" s="478">
        <f t="shared" si="10"/>
        <v>1300420.6118127499</v>
      </c>
      <c r="I45" s="501">
        <f t="shared" si="6"/>
        <v>0</v>
      </c>
      <c r="J45" s="501"/>
      <c r="K45" s="513"/>
      <c r="L45" s="505">
        <f t="shared" si="11"/>
        <v>0</v>
      </c>
      <c r="M45" s="513"/>
      <c r="N45" s="505">
        <f t="shared" si="4"/>
        <v>0</v>
      </c>
      <c r="O45" s="505">
        <f t="shared" si="5"/>
        <v>0</v>
      </c>
      <c r="P45" s="279"/>
      <c r="R45" s="244"/>
      <c r="S45" s="244"/>
      <c r="T45" s="244"/>
      <c r="U45" s="244"/>
    </row>
    <row r="46" spans="2:21" ht="12.5">
      <c r="B46" s="145" t="str">
        <f t="shared" si="0"/>
        <v/>
      </c>
      <c r="C46" s="496">
        <f>IF(D11="","-",+C45+1)</f>
        <v>2043</v>
      </c>
      <c r="D46" s="509">
        <f>IF(F45+SUM(E$17:E45)=D$10,F45,D$10-SUM(E$17:E45))</f>
        <v>6617983.8338753209</v>
      </c>
      <c r="E46" s="510">
        <f t="shared" si="7"/>
        <v>493855.12195121951</v>
      </c>
      <c r="F46" s="511">
        <f t="shared" si="8"/>
        <v>6124128.7119241012</v>
      </c>
      <c r="G46" s="512">
        <f t="shared" si="9"/>
        <v>1242397.0663586925</v>
      </c>
      <c r="H46" s="478">
        <f t="shared" si="10"/>
        <v>1242397.0663586925</v>
      </c>
      <c r="I46" s="501">
        <f t="shared" si="6"/>
        <v>0</v>
      </c>
      <c r="J46" s="501"/>
      <c r="K46" s="513"/>
      <c r="L46" s="505">
        <f t="shared" si="11"/>
        <v>0</v>
      </c>
      <c r="M46" s="513"/>
      <c r="N46" s="505">
        <f t="shared" si="4"/>
        <v>0</v>
      </c>
      <c r="O46" s="505">
        <f t="shared" si="5"/>
        <v>0</v>
      </c>
      <c r="P46" s="279"/>
      <c r="R46" s="244"/>
      <c r="S46" s="244"/>
      <c r="T46" s="244"/>
      <c r="U46" s="244"/>
    </row>
    <row r="47" spans="2:21" ht="12.5">
      <c r="B47" s="145" t="str">
        <f t="shared" si="0"/>
        <v/>
      </c>
      <c r="C47" s="496">
        <f>IF(D11="","-",+C46+1)</f>
        <v>2044</v>
      </c>
      <c r="D47" s="509">
        <f>IF(F46+SUM(E$17:E46)=D$10,F46,D$10-SUM(E$17:E46))</f>
        <v>6124128.7119241012</v>
      </c>
      <c r="E47" s="510">
        <f t="shared" si="7"/>
        <v>493855.12195121951</v>
      </c>
      <c r="F47" s="511">
        <f t="shared" si="8"/>
        <v>5630273.5899728816</v>
      </c>
      <c r="G47" s="512">
        <f t="shared" si="9"/>
        <v>1184373.5209046346</v>
      </c>
      <c r="H47" s="478">
        <f t="shared" si="10"/>
        <v>1184373.5209046346</v>
      </c>
      <c r="I47" s="501">
        <f t="shared" si="6"/>
        <v>0</v>
      </c>
      <c r="J47" s="501"/>
      <c r="K47" s="513"/>
      <c r="L47" s="505">
        <f t="shared" si="11"/>
        <v>0</v>
      </c>
      <c r="M47" s="513"/>
      <c r="N47" s="505">
        <f t="shared" si="4"/>
        <v>0</v>
      </c>
      <c r="O47" s="505">
        <f t="shared" si="5"/>
        <v>0</v>
      </c>
      <c r="P47" s="279"/>
      <c r="R47" s="244"/>
      <c r="S47" s="244"/>
      <c r="T47" s="244"/>
      <c r="U47" s="244"/>
    </row>
    <row r="48" spans="2:21" ht="12.5">
      <c r="B48" s="145" t="str">
        <f t="shared" si="0"/>
        <v/>
      </c>
      <c r="C48" s="496">
        <f>IF(D11="","-",+C47+1)</f>
        <v>2045</v>
      </c>
      <c r="D48" s="509">
        <f>IF(F47+SUM(E$17:E47)=D$10,F47,D$10-SUM(E$17:E47))</f>
        <v>5630273.5899728816</v>
      </c>
      <c r="E48" s="510">
        <f t="shared" si="7"/>
        <v>493855.12195121951</v>
      </c>
      <c r="F48" s="511">
        <f t="shared" si="8"/>
        <v>5136418.468021662</v>
      </c>
      <c r="G48" s="512">
        <f t="shared" si="9"/>
        <v>1126349.9754505772</v>
      </c>
      <c r="H48" s="478">
        <f t="shared" si="10"/>
        <v>1126349.9754505772</v>
      </c>
      <c r="I48" s="501">
        <f t="shared" si="6"/>
        <v>0</v>
      </c>
      <c r="J48" s="501"/>
      <c r="K48" s="513"/>
      <c r="L48" s="505">
        <f t="shared" si="11"/>
        <v>0</v>
      </c>
      <c r="M48" s="513"/>
      <c r="N48" s="505">
        <f t="shared" si="4"/>
        <v>0</v>
      </c>
      <c r="O48" s="505">
        <f t="shared" si="5"/>
        <v>0</v>
      </c>
      <c r="P48" s="279"/>
      <c r="R48" s="244"/>
      <c r="S48" s="244"/>
      <c r="T48" s="244"/>
      <c r="U48" s="244"/>
    </row>
    <row r="49" spans="2:21" ht="12.5">
      <c r="B49" s="145" t="str">
        <f t="shared" si="0"/>
        <v/>
      </c>
      <c r="C49" s="496">
        <f>IF(D11="","-",+C48+1)</f>
        <v>2046</v>
      </c>
      <c r="D49" s="509">
        <f>IF(F48+SUM(E$17:E48)=D$10,F48,D$10-SUM(E$17:E48))</f>
        <v>5136418.468021662</v>
      </c>
      <c r="E49" s="510">
        <f t="shared" si="7"/>
        <v>493855.12195121951</v>
      </c>
      <c r="F49" s="511">
        <f t="shared" si="8"/>
        <v>4642563.3460704423</v>
      </c>
      <c r="G49" s="512">
        <f t="shared" si="9"/>
        <v>1068326.4299965193</v>
      </c>
      <c r="H49" s="478">
        <f t="shared" si="10"/>
        <v>1068326.4299965193</v>
      </c>
      <c r="I49" s="501">
        <f t="shared" si="6"/>
        <v>0</v>
      </c>
      <c r="J49" s="501"/>
      <c r="K49" s="513"/>
      <c r="L49" s="505">
        <f t="shared" si="11"/>
        <v>0</v>
      </c>
      <c r="M49" s="513"/>
      <c r="N49" s="505">
        <f t="shared" si="4"/>
        <v>0</v>
      </c>
      <c r="O49" s="505">
        <f t="shared" si="5"/>
        <v>0</v>
      </c>
      <c r="P49" s="279"/>
      <c r="R49" s="244"/>
      <c r="S49" s="244"/>
      <c r="T49" s="244"/>
      <c r="U49" s="244"/>
    </row>
    <row r="50" spans="2:21" ht="12.5">
      <c r="B50" s="145" t="str">
        <f t="shared" si="0"/>
        <v/>
      </c>
      <c r="C50" s="496">
        <f>IF(D11="","-",+C49+1)</f>
        <v>2047</v>
      </c>
      <c r="D50" s="509">
        <f>IF(F49+SUM(E$17:E49)=D$10,F49,D$10-SUM(E$17:E49))</f>
        <v>4642563.3460704423</v>
      </c>
      <c r="E50" s="510">
        <f t="shared" si="7"/>
        <v>493855.12195121951</v>
      </c>
      <c r="F50" s="511">
        <f t="shared" si="8"/>
        <v>4148708.2241192227</v>
      </c>
      <c r="G50" s="512">
        <f t="shared" si="9"/>
        <v>1010302.8845424617</v>
      </c>
      <c r="H50" s="478">
        <f t="shared" si="10"/>
        <v>1010302.8845424617</v>
      </c>
      <c r="I50" s="501">
        <f t="shared" si="6"/>
        <v>0</v>
      </c>
      <c r="J50" s="501"/>
      <c r="K50" s="513"/>
      <c r="L50" s="505">
        <f t="shared" si="11"/>
        <v>0</v>
      </c>
      <c r="M50" s="513"/>
      <c r="N50" s="505">
        <f t="shared" si="4"/>
        <v>0</v>
      </c>
      <c r="O50" s="505">
        <f t="shared" si="5"/>
        <v>0</v>
      </c>
      <c r="P50" s="279"/>
      <c r="R50" s="244"/>
      <c r="S50" s="244"/>
      <c r="T50" s="244"/>
      <c r="U50" s="244"/>
    </row>
    <row r="51" spans="2:21" ht="12.5">
      <c r="B51" s="145" t="str">
        <f t="shared" si="0"/>
        <v/>
      </c>
      <c r="C51" s="496">
        <f>IF(D11="","-",+C50+1)</f>
        <v>2048</v>
      </c>
      <c r="D51" s="509">
        <f>IF(F50+SUM(E$17:E50)=D$10,F50,D$10-SUM(E$17:E50))</f>
        <v>4148708.2241192227</v>
      </c>
      <c r="E51" s="510">
        <f t="shared" si="7"/>
        <v>493855.12195121951</v>
      </c>
      <c r="F51" s="511">
        <f t="shared" si="8"/>
        <v>3654853.1021680031</v>
      </c>
      <c r="G51" s="512">
        <f t="shared" si="9"/>
        <v>952279.33908840409</v>
      </c>
      <c r="H51" s="478">
        <f t="shared" si="10"/>
        <v>952279.33908840409</v>
      </c>
      <c r="I51" s="501">
        <f t="shared" si="6"/>
        <v>0</v>
      </c>
      <c r="J51" s="501"/>
      <c r="K51" s="513"/>
      <c r="L51" s="505">
        <f t="shared" si="11"/>
        <v>0</v>
      </c>
      <c r="M51" s="513"/>
      <c r="N51" s="505">
        <f t="shared" si="4"/>
        <v>0</v>
      </c>
      <c r="O51" s="505">
        <f t="shared" si="5"/>
        <v>0</v>
      </c>
      <c r="P51" s="279"/>
      <c r="R51" s="244"/>
      <c r="S51" s="244"/>
      <c r="T51" s="244"/>
      <c r="U51" s="244"/>
    </row>
    <row r="52" spans="2:21" ht="12.5">
      <c r="B52" s="145" t="str">
        <f t="shared" si="0"/>
        <v/>
      </c>
      <c r="C52" s="496">
        <f>IF(D11="","-",+C51+1)</f>
        <v>2049</v>
      </c>
      <c r="D52" s="509">
        <f>IF(F51+SUM(E$17:E51)=D$10,F51,D$10-SUM(E$17:E51))</f>
        <v>3654853.1021680031</v>
      </c>
      <c r="E52" s="510">
        <f t="shared" si="7"/>
        <v>493855.12195121951</v>
      </c>
      <c r="F52" s="511">
        <f t="shared" si="8"/>
        <v>3160997.9802167835</v>
      </c>
      <c r="G52" s="512">
        <f t="shared" si="9"/>
        <v>894255.79363434645</v>
      </c>
      <c r="H52" s="478">
        <f t="shared" si="10"/>
        <v>894255.79363434645</v>
      </c>
      <c r="I52" s="501">
        <f t="shared" si="6"/>
        <v>0</v>
      </c>
      <c r="J52" s="501"/>
      <c r="K52" s="513"/>
      <c r="L52" s="505">
        <f t="shared" si="11"/>
        <v>0</v>
      </c>
      <c r="M52" s="513"/>
      <c r="N52" s="505">
        <f t="shared" si="4"/>
        <v>0</v>
      </c>
      <c r="O52" s="505">
        <f t="shared" si="5"/>
        <v>0</v>
      </c>
      <c r="P52" s="279"/>
      <c r="R52" s="244"/>
      <c r="S52" s="244"/>
      <c r="T52" s="244"/>
      <c r="U52" s="244"/>
    </row>
    <row r="53" spans="2:21" ht="12.5">
      <c r="B53" s="145" t="str">
        <f t="shared" si="0"/>
        <v/>
      </c>
      <c r="C53" s="496">
        <f>IF(D11="","-",+C52+1)</f>
        <v>2050</v>
      </c>
      <c r="D53" s="509">
        <f>IF(F52+SUM(E$17:E52)=D$10,F52,D$10-SUM(E$17:E52))</f>
        <v>3160997.9802167835</v>
      </c>
      <c r="E53" s="510">
        <f t="shared" si="7"/>
        <v>493855.12195121951</v>
      </c>
      <c r="F53" s="511">
        <f t="shared" si="8"/>
        <v>2667142.8582655638</v>
      </c>
      <c r="G53" s="512">
        <f t="shared" si="9"/>
        <v>836232.24818028882</v>
      </c>
      <c r="H53" s="478">
        <f t="shared" si="10"/>
        <v>836232.24818028882</v>
      </c>
      <c r="I53" s="501">
        <f t="shared" si="6"/>
        <v>0</v>
      </c>
      <c r="J53" s="501"/>
      <c r="K53" s="513"/>
      <c r="L53" s="505">
        <f t="shared" si="11"/>
        <v>0</v>
      </c>
      <c r="M53" s="513"/>
      <c r="N53" s="505">
        <f t="shared" si="4"/>
        <v>0</v>
      </c>
      <c r="O53" s="505">
        <f t="shared" si="5"/>
        <v>0</v>
      </c>
      <c r="P53" s="279"/>
      <c r="R53" s="244"/>
      <c r="S53" s="244"/>
      <c r="T53" s="244"/>
      <c r="U53" s="244"/>
    </row>
    <row r="54" spans="2:21" ht="12.5">
      <c r="B54" s="145" t="str">
        <f t="shared" si="0"/>
        <v/>
      </c>
      <c r="C54" s="496">
        <f>IF(D11="","-",+C53+1)</f>
        <v>2051</v>
      </c>
      <c r="D54" s="509">
        <f>IF(F53+SUM(E$17:E53)=D$10,F53,D$10-SUM(E$17:E53))</f>
        <v>2667142.8582655638</v>
      </c>
      <c r="E54" s="510">
        <f t="shared" si="7"/>
        <v>493855.12195121951</v>
      </c>
      <c r="F54" s="511">
        <f t="shared" si="8"/>
        <v>2173287.7363143442</v>
      </c>
      <c r="G54" s="512">
        <f t="shared" si="9"/>
        <v>778208.70272623107</v>
      </c>
      <c r="H54" s="478">
        <f t="shared" si="10"/>
        <v>778208.70272623107</v>
      </c>
      <c r="I54" s="501">
        <f t="shared" si="6"/>
        <v>0</v>
      </c>
      <c r="J54" s="501"/>
      <c r="K54" s="513"/>
      <c r="L54" s="505">
        <f t="shared" si="11"/>
        <v>0</v>
      </c>
      <c r="M54" s="513"/>
      <c r="N54" s="505">
        <f t="shared" si="4"/>
        <v>0</v>
      </c>
      <c r="O54" s="505">
        <f t="shared" si="5"/>
        <v>0</v>
      </c>
      <c r="P54" s="279"/>
      <c r="R54" s="244"/>
      <c r="S54" s="244"/>
      <c r="T54" s="244"/>
      <c r="U54" s="244"/>
    </row>
    <row r="55" spans="2:21" ht="12.5">
      <c r="B55" s="145" t="str">
        <f t="shared" si="0"/>
        <v/>
      </c>
      <c r="C55" s="496">
        <f>IF(D11="","-",+C54+1)</f>
        <v>2052</v>
      </c>
      <c r="D55" s="509">
        <f>IF(F54+SUM(E$17:E54)=D$10,F54,D$10-SUM(E$17:E54))</f>
        <v>2173287.7363143442</v>
      </c>
      <c r="E55" s="510">
        <f t="shared" si="7"/>
        <v>493855.12195121951</v>
      </c>
      <c r="F55" s="511">
        <f t="shared" si="8"/>
        <v>1679432.6143631246</v>
      </c>
      <c r="G55" s="512">
        <f t="shared" si="9"/>
        <v>720185.15727217344</v>
      </c>
      <c r="H55" s="478">
        <f t="shared" si="10"/>
        <v>720185.15727217344</v>
      </c>
      <c r="I55" s="501">
        <f t="shared" si="6"/>
        <v>0</v>
      </c>
      <c r="J55" s="501"/>
      <c r="K55" s="513"/>
      <c r="L55" s="505">
        <f t="shared" si="11"/>
        <v>0</v>
      </c>
      <c r="M55" s="513"/>
      <c r="N55" s="505">
        <f t="shared" si="4"/>
        <v>0</v>
      </c>
      <c r="O55" s="505">
        <f t="shared" si="5"/>
        <v>0</v>
      </c>
      <c r="P55" s="279"/>
      <c r="R55" s="244"/>
      <c r="S55" s="244"/>
      <c r="T55" s="244"/>
      <c r="U55" s="244"/>
    </row>
    <row r="56" spans="2:21" ht="12.5">
      <c r="B56" s="145" t="str">
        <f t="shared" si="0"/>
        <v/>
      </c>
      <c r="C56" s="496">
        <f>IF(D11="","-",+C55+1)</f>
        <v>2053</v>
      </c>
      <c r="D56" s="509">
        <f>IF(F55+SUM(E$17:E55)=D$10,F55,D$10-SUM(E$17:E55))</f>
        <v>1679432.6143631246</v>
      </c>
      <c r="E56" s="510">
        <f t="shared" si="7"/>
        <v>493855.12195121951</v>
      </c>
      <c r="F56" s="511">
        <f t="shared" si="8"/>
        <v>1185577.492411905</v>
      </c>
      <c r="G56" s="512">
        <f t="shared" si="9"/>
        <v>662161.61181811581</v>
      </c>
      <c r="H56" s="478">
        <f t="shared" si="10"/>
        <v>662161.61181811581</v>
      </c>
      <c r="I56" s="501">
        <f t="shared" si="6"/>
        <v>0</v>
      </c>
      <c r="J56" s="501"/>
      <c r="K56" s="513"/>
      <c r="L56" s="505">
        <f t="shared" si="11"/>
        <v>0</v>
      </c>
      <c r="M56" s="513"/>
      <c r="N56" s="505">
        <f t="shared" si="4"/>
        <v>0</v>
      </c>
      <c r="O56" s="505">
        <f t="shared" si="5"/>
        <v>0</v>
      </c>
      <c r="P56" s="279"/>
      <c r="R56" s="244"/>
      <c r="S56" s="244"/>
      <c r="T56" s="244"/>
      <c r="U56" s="244"/>
    </row>
    <row r="57" spans="2:21" ht="12.5">
      <c r="B57" s="145" t="str">
        <f t="shared" si="0"/>
        <v/>
      </c>
      <c r="C57" s="496">
        <f>IF(D11="","-",+C56+1)</f>
        <v>2054</v>
      </c>
      <c r="D57" s="509">
        <f>IF(F56+SUM(E$17:E56)=D$10,F56,D$10-SUM(E$17:E56))</f>
        <v>1185577.492411905</v>
      </c>
      <c r="E57" s="510">
        <f t="shared" si="7"/>
        <v>493855.12195121951</v>
      </c>
      <c r="F57" s="511">
        <f t="shared" si="8"/>
        <v>691722.37046068546</v>
      </c>
      <c r="G57" s="512">
        <f t="shared" si="9"/>
        <v>604138.06636405806</v>
      </c>
      <c r="H57" s="478">
        <f t="shared" si="10"/>
        <v>604138.06636405806</v>
      </c>
      <c r="I57" s="501">
        <f t="shared" si="6"/>
        <v>0</v>
      </c>
      <c r="J57" s="501"/>
      <c r="K57" s="513"/>
      <c r="L57" s="505">
        <f t="shared" si="11"/>
        <v>0</v>
      </c>
      <c r="M57" s="513"/>
      <c r="N57" s="505">
        <f t="shared" si="4"/>
        <v>0</v>
      </c>
      <c r="O57" s="505">
        <f t="shared" si="5"/>
        <v>0</v>
      </c>
      <c r="P57" s="279"/>
      <c r="R57" s="244"/>
      <c r="S57" s="244"/>
      <c r="T57" s="244"/>
      <c r="U57" s="244"/>
    </row>
    <row r="58" spans="2:21" ht="12.5">
      <c r="B58" s="145" t="str">
        <f t="shared" si="0"/>
        <v/>
      </c>
      <c r="C58" s="496">
        <f>IF(D11="","-",+C57+1)</f>
        <v>2055</v>
      </c>
      <c r="D58" s="509">
        <f>IF(F57+SUM(E$17:E57)=D$10,F57,D$10-SUM(E$17:E57))</f>
        <v>691722.37046068546</v>
      </c>
      <c r="E58" s="510">
        <f t="shared" si="7"/>
        <v>493855.12195121951</v>
      </c>
      <c r="F58" s="511">
        <f t="shared" si="8"/>
        <v>197867.24850946595</v>
      </c>
      <c r="G58" s="512">
        <f t="shared" si="9"/>
        <v>546114.52091000043</v>
      </c>
      <c r="H58" s="478">
        <f t="shared" si="10"/>
        <v>546114.52091000043</v>
      </c>
      <c r="I58" s="501">
        <f t="shared" si="6"/>
        <v>0</v>
      </c>
      <c r="J58" s="501"/>
      <c r="K58" s="513"/>
      <c r="L58" s="505">
        <f t="shared" si="11"/>
        <v>0</v>
      </c>
      <c r="M58" s="513"/>
      <c r="N58" s="505">
        <f t="shared" si="4"/>
        <v>0</v>
      </c>
      <c r="O58" s="505">
        <f t="shared" si="5"/>
        <v>0</v>
      </c>
      <c r="P58" s="279"/>
      <c r="R58" s="244"/>
      <c r="S58" s="244"/>
      <c r="T58" s="244"/>
      <c r="U58" s="244"/>
    </row>
    <row r="59" spans="2:21" ht="12.5">
      <c r="B59" s="145" t="str">
        <f t="shared" si="0"/>
        <v/>
      </c>
      <c r="C59" s="496">
        <f>IF(D11="","-",+C58+1)</f>
        <v>2056</v>
      </c>
      <c r="D59" s="509">
        <f>IF(F58+SUM(E$17:E58)=D$10,F58,D$10-SUM(E$17:E58))</f>
        <v>197867.24850946595</v>
      </c>
      <c r="E59" s="510">
        <f t="shared" si="7"/>
        <v>197867.24850946595</v>
      </c>
      <c r="F59" s="511">
        <f t="shared" si="8"/>
        <v>0</v>
      </c>
      <c r="G59" s="512">
        <f t="shared" si="9"/>
        <v>209491.061625342</v>
      </c>
      <c r="H59" s="478">
        <f t="shared" si="10"/>
        <v>209491.061625342</v>
      </c>
      <c r="I59" s="501">
        <f t="shared" si="6"/>
        <v>0</v>
      </c>
      <c r="J59" s="501"/>
      <c r="K59" s="513"/>
      <c r="L59" s="505">
        <f t="shared" si="11"/>
        <v>0</v>
      </c>
      <c r="M59" s="513"/>
      <c r="N59" s="505">
        <f t="shared" si="4"/>
        <v>0</v>
      </c>
      <c r="O59" s="505">
        <f t="shared" si="5"/>
        <v>0</v>
      </c>
      <c r="P59" s="279"/>
      <c r="R59" s="244"/>
      <c r="S59" s="244"/>
      <c r="T59" s="244"/>
      <c r="U59" s="244"/>
    </row>
    <row r="60" spans="2:21" ht="12.5">
      <c r="B60" s="145" t="str">
        <f t="shared" si="0"/>
        <v/>
      </c>
      <c r="C60" s="496">
        <f>IF(D11="","-",+C59+1)</f>
        <v>2057</v>
      </c>
      <c r="D60" s="509">
        <f>IF(F59+SUM(E$17:E59)=D$10,F59,D$10-SUM(E$17:E59))</f>
        <v>0</v>
      </c>
      <c r="E60" s="510">
        <f t="shared" si="7"/>
        <v>0</v>
      </c>
      <c r="F60" s="511">
        <f t="shared" si="8"/>
        <v>0</v>
      </c>
      <c r="G60" s="512">
        <f t="shared" si="9"/>
        <v>0</v>
      </c>
      <c r="H60" s="478">
        <f t="shared" si="10"/>
        <v>0</v>
      </c>
      <c r="I60" s="501">
        <f t="shared" si="6"/>
        <v>0</v>
      </c>
      <c r="J60" s="501"/>
      <c r="K60" s="513"/>
      <c r="L60" s="505">
        <f t="shared" si="11"/>
        <v>0</v>
      </c>
      <c r="M60" s="513"/>
      <c r="N60" s="505">
        <f t="shared" si="4"/>
        <v>0</v>
      </c>
      <c r="O60" s="505">
        <f t="shared" si="5"/>
        <v>0</v>
      </c>
      <c r="P60" s="279"/>
      <c r="R60" s="244"/>
      <c r="S60" s="244"/>
      <c r="T60" s="244"/>
      <c r="U60" s="244"/>
    </row>
    <row r="61" spans="2:21" ht="12.5">
      <c r="B61" s="145" t="str">
        <f t="shared" si="0"/>
        <v/>
      </c>
      <c r="C61" s="496">
        <f>IF(D11="","-",+C60+1)</f>
        <v>2058</v>
      </c>
      <c r="D61" s="509">
        <f>IF(F60+SUM(E$17:E60)=D$10,F60,D$10-SUM(E$17:E60))</f>
        <v>0</v>
      </c>
      <c r="E61" s="510">
        <f t="shared" si="7"/>
        <v>0</v>
      </c>
      <c r="F61" s="511">
        <f t="shared" si="8"/>
        <v>0</v>
      </c>
      <c r="G61" s="512">
        <f t="shared" si="9"/>
        <v>0</v>
      </c>
      <c r="H61" s="478">
        <f t="shared" si="10"/>
        <v>0</v>
      </c>
      <c r="I61" s="501">
        <f t="shared" si="6"/>
        <v>0</v>
      </c>
      <c r="J61" s="501"/>
      <c r="K61" s="513"/>
      <c r="L61" s="505">
        <f t="shared" si="11"/>
        <v>0</v>
      </c>
      <c r="M61" s="513"/>
      <c r="N61" s="505">
        <f t="shared" si="4"/>
        <v>0</v>
      </c>
      <c r="O61" s="505">
        <f t="shared" si="5"/>
        <v>0</v>
      </c>
      <c r="P61" s="279"/>
      <c r="R61" s="244"/>
      <c r="S61" s="244"/>
      <c r="T61" s="244"/>
      <c r="U61" s="244"/>
    </row>
    <row r="62" spans="2:21" ht="12.5">
      <c r="B62" s="145" t="str">
        <f t="shared" si="0"/>
        <v/>
      </c>
      <c r="C62" s="496">
        <f>IF(D11="","-",+C61+1)</f>
        <v>2059</v>
      </c>
      <c r="D62" s="509">
        <f>IF(F61+SUM(E$17:E61)=D$10,F61,D$10-SUM(E$17:E61))</f>
        <v>0</v>
      </c>
      <c r="E62" s="510">
        <f t="shared" si="7"/>
        <v>0</v>
      </c>
      <c r="F62" s="511">
        <f t="shared" si="8"/>
        <v>0</v>
      </c>
      <c r="G62" s="512">
        <f t="shared" si="9"/>
        <v>0</v>
      </c>
      <c r="H62" s="478">
        <f t="shared" si="10"/>
        <v>0</v>
      </c>
      <c r="I62" s="501">
        <f t="shared" si="6"/>
        <v>0</v>
      </c>
      <c r="J62" s="501"/>
      <c r="K62" s="513"/>
      <c r="L62" s="505">
        <f t="shared" si="11"/>
        <v>0</v>
      </c>
      <c r="M62" s="513"/>
      <c r="N62" s="505">
        <f t="shared" si="4"/>
        <v>0</v>
      </c>
      <c r="O62" s="505">
        <f t="shared" si="5"/>
        <v>0</v>
      </c>
      <c r="P62" s="279"/>
      <c r="R62" s="244"/>
      <c r="S62" s="244"/>
      <c r="T62" s="244"/>
      <c r="U62" s="244"/>
    </row>
    <row r="63" spans="2:21" ht="12.5">
      <c r="B63" s="145" t="str">
        <f t="shared" si="0"/>
        <v/>
      </c>
      <c r="C63" s="496">
        <f>IF(D11="","-",+C62+1)</f>
        <v>2060</v>
      </c>
      <c r="D63" s="509">
        <f>IF(F62+SUM(E$17:E62)=D$10,F62,D$10-SUM(E$17:E62))</f>
        <v>0</v>
      </c>
      <c r="E63" s="510">
        <f t="shared" si="7"/>
        <v>0</v>
      </c>
      <c r="F63" s="511">
        <f t="shared" si="8"/>
        <v>0</v>
      </c>
      <c r="G63" s="512">
        <f t="shared" si="9"/>
        <v>0</v>
      </c>
      <c r="H63" s="478">
        <f t="shared" si="10"/>
        <v>0</v>
      </c>
      <c r="I63" s="501">
        <f t="shared" si="6"/>
        <v>0</v>
      </c>
      <c r="J63" s="501"/>
      <c r="K63" s="513"/>
      <c r="L63" s="505">
        <f t="shared" si="11"/>
        <v>0</v>
      </c>
      <c r="M63" s="513"/>
      <c r="N63" s="505">
        <f t="shared" si="4"/>
        <v>0</v>
      </c>
      <c r="O63" s="505">
        <f t="shared" si="5"/>
        <v>0</v>
      </c>
      <c r="P63" s="279"/>
      <c r="R63" s="244"/>
      <c r="S63" s="244"/>
      <c r="T63" s="244"/>
      <c r="U63" s="244"/>
    </row>
    <row r="64" spans="2:21" ht="12.5">
      <c r="B64" s="145" t="str">
        <f t="shared" si="0"/>
        <v/>
      </c>
      <c r="C64" s="496">
        <f>IF(D11="","-",+C63+1)</f>
        <v>2061</v>
      </c>
      <c r="D64" s="509">
        <f>IF(F63+SUM(E$17:E63)=D$10,F63,D$10-SUM(E$17:E63))</f>
        <v>0</v>
      </c>
      <c r="E64" s="510">
        <f t="shared" si="7"/>
        <v>0</v>
      </c>
      <c r="F64" s="511">
        <f t="shared" si="8"/>
        <v>0</v>
      </c>
      <c r="G64" s="512">
        <f t="shared" si="9"/>
        <v>0</v>
      </c>
      <c r="H64" s="478">
        <f t="shared" si="10"/>
        <v>0</v>
      </c>
      <c r="I64" s="501">
        <f t="shared" si="6"/>
        <v>0</v>
      </c>
      <c r="J64" s="501"/>
      <c r="K64" s="513"/>
      <c r="L64" s="505">
        <f t="shared" si="11"/>
        <v>0</v>
      </c>
      <c r="M64" s="513"/>
      <c r="N64" s="505">
        <f t="shared" si="4"/>
        <v>0</v>
      </c>
      <c r="O64" s="505">
        <f t="shared" si="5"/>
        <v>0</v>
      </c>
      <c r="P64" s="279"/>
      <c r="R64" s="244"/>
      <c r="S64" s="244"/>
      <c r="T64" s="244"/>
      <c r="U64" s="244"/>
    </row>
    <row r="65" spans="2:21" ht="12.5">
      <c r="B65" s="145" t="str">
        <f t="shared" si="0"/>
        <v/>
      </c>
      <c r="C65" s="496">
        <f>IF(D11="","-",+C64+1)</f>
        <v>2062</v>
      </c>
      <c r="D65" s="509">
        <f>IF(F64+SUM(E$17:E64)=D$10,F64,D$10-SUM(E$17:E64))</f>
        <v>0</v>
      </c>
      <c r="E65" s="510">
        <f t="shared" si="7"/>
        <v>0</v>
      </c>
      <c r="F65" s="511">
        <f t="shared" si="8"/>
        <v>0</v>
      </c>
      <c r="G65" s="512">
        <f t="shared" si="9"/>
        <v>0</v>
      </c>
      <c r="H65" s="478">
        <f t="shared" si="10"/>
        <v>0</v>
      </c>
      <c r="I65" s="501">
        <f t="shared" si="6"/>
        <v>0</v>
      </c>
      <c r="J65" s="501"/>
      <c r="K65" s="513"/>
      <c r="L65" s="505">
        <f t="shared" si="11"/>
        <v>0</v>
      </c>
      <c r="M65" s="513"/>
      <c r="N65" s="505">
        <f t="shared" si="4"/>
        <v>0</v>
      </c>
      <c r="O65" s="505">
        <f t="shared" si="5"/>
        <v>0</v>
      </c>
      <c r="P65" s="279"/>
      <c r="R65" s="244"/>
      <c r="S65" s="244"/>
      <c r="T65" s="244"/>
      <c r="U65" s="244"/>
    </row>
    <row r="66" spans="2:21" ht="12.5">
      <c r="B66" s="145" t="str">
        <f t="shared" si="0"/>
        <v/>
      </c>
      <c r="C66" s="496">
        <f>IF(D11="","-",+C65+1)</f>
        <v>2063</v>
      </c>
      <c r="D66" s="509">
        <f>IF(F65+SUM(E$17:E65)=D$10,F65,D$10-SUM(E$17:E65))</f>
        <v>0</v>
      </c>
      <c r="E66" s="510">
        <f t="shared" si="7"/>
        <v>0</v>
      </c>
      <c r="F66" s="511">
        <f t="shared" si="8"/>
        <v>0</v>
      </c>
      <c r="G66" s="512">
        <f t="shared" si="9"/>
        <v>0</v>
      </c>
      <c r="H66" s="478">
        <f t="shared" si="10"/>
        <v>0</v>
      </c>
      <c r="I66" s="501">
        <f t="shared" si="6"/>
        <v>0</v>
      </c>
      <c r="J66" s="501"/>
      <c r="K66" s="513"/>
      <c r="L66" s="505">
        <f t="shared" si="11"/>
        <v>0</v>
      </c>
      <c r="M66" s="513"/>
      <c r="N66" s="505">
        <f t="shared" si="4"/>
        <v>0</v>
      </c>
      <c r="O66" s="505">
        <f t="shared" si="5"/>
        <v>0</v>
      </c>
      <c r="P66" s="279"/>
      <c r="R66" s="244"/>
      <c r="S66" s="244"/>
      <c r="T66" s="244"/>
      <c r="U66" s="244"/>
    </row>
    <row r="67" spans="2:21" ht="12.5">
      <c r="B67" s="145" t="str">
        <f t="shared" si="0"/>
        <v/>
      </c>
      <c r="C67" s="496">
        <f>IF(D11="","-",+C66+1)</f>
        <v>2064</v>
      </c>
      <c r="D67" s="509">
        <f>IF(F66+SUM(E$17:E66)=D$10,F66,D$10-SUM(E$17:E66))</f>
        <v>0</v>
      </c>
      <c r="E67" s="510">
        <f t="shared" si="7"/>
        <v>0</v>
      </c>
      <c r="F67" s="511">
        <f t="shared" si="8"/>
        <v>0</v>
      </c>
      <c r="G67" s="512">
        <f t="shared" si="9"/>
        <v>0</v>
      </c>
      <c r="H67" s="478">
        <f t="shared" si="10"/>
        <v>0</v>
      </c>
      <c r="I67" s="501">
        <f t="shared" si="6"/>
        <v>0</v>
      </c>
      <c r="J67" s="501"/>
      <c r="K67" s="513"/>
      <c r="L67" s="505">
        <f t="shared" si="11"/>
        <v>0</v>
      </c>
      <c r="M67" s="513"/>
      <c r="N67" s="505">
        <f t="shared" si="4"/>
        <v>0</v>
      </c>
      <c r="O67" s="505">
        <f t="shared" si="5"/>
        <v>0</v>
      </c>
      <c r="P67" s="279"/>
      <c r="R67" s="244"/>
      <c r="S67" s="244"/>
      <c r="T67" s="244"/>
      <c r="U67" s="244"/>
    </row>
    <row r="68" spans="2:21" ht="12.5">
      <c r="B68" s="145" t="str">
        <f t="shared" si="0"/>
        <v/>
      </c>
      <c r="C68" s="496">
        <f>IF(D11="","-",+C67+1)</f>
        <v>2065</v>
      </c>
      <c r="D68" s="509">
        <f>IF(F67+SUM(E$17:E67)=D$10,F67,D$10-SUM(E$17:E67))</f>
        <v>0</v>
      </c>
      <c r="E68" s="510">
        <f t="shared" si="7"/>
        <v>0</v>
      </c>
      <c r="F68" s="511">
        <f t="shared" si="8"/>
        <v>0</v>
      </c>
      <c r="G68" s="512">
        <f t="shared" si="9"/>
        <v>0</v>
      </c>
      <c r="H68" s="478">
        <f t="shared" si="10"/>
        <v>0</v>
      </c>
      <c r="I68" s="501">
        <f t="shared" si="6"/>
        <v>0</v>
      </c>
      <c r="J68" s="501"/>
      <c r="K68" s="513"/>
      <c r="L68" s="505">
        <f t="shared" si="11"/>
        <v>0</v>
      </c>
      <c r="M68" s="513"/>
      <c r="N68" s="505">
        <f t="shared" si="4"/>
        <v>0</v>
      </c>
      <c r="O68" s="505">
        <f t="shared" si="5"/>
        <v>0</v>
      </c>
      <c r="P68" s="279"/>
      <c r="R68" s="244"/>
      <c r="S68" s="244"/>
      <c r="T68" s="244"/>
      <c r="U68" s="244"/>
    </row>
    <row r="69" spans="2:21" ht="12.5">
      <c r="B69" s="145" t="str">
        <f t="shared" si="0"/>
        <v/>
      </c>
      <c r="C69" s="496">
        <f>IF(D11="","-",+C68+1)</f>
        <v>2066</v>
      </c>
      <c r="D69" s="509">
        <f>IF(F68+SUM(E$17:E68)=D$10,F68,D$10-SUM(E$17:E68))</f>
        <v>0</v>
      </c>
      <c r="E69" s="510">
        <f t="shared" si="7"/>
        <v>0</v>
      </c>
      <c r="F69" s="511">
        <f t="shared" si="8"/>
        <v>0</v>
      </c>
      <c r="G69" s="512">
        <f t="shared" si="9"/>
        <v>0</v>
      </c>
      <c r="H69" s="478">
        <f t="shared" si="10"/>
        <v>0</v>
      </c>
      <c r="I69" s="501">
        <f t="shared" si="6"/>
        <v>0</v>
      </c>
      <c r="J69" s="501"/>
      <c r="K69" s="513"/>
      <c r="L69" s="505">
        <f t="shared" si="11"/>
        <v>0</v>
      </c>
      <c r="M69" s="513"/>
      <c r="N69" s="505">
        <f t="shared" si="4"/>
        <v>0</v>
      </c>
      <c r="O69" s="505">
        <f t="shared" si="5"/>
        <v>0</v>
      </c>
      <c r="P69" s="279"/>
      <c r="R69" s="244"/>
      <c r="S69" s="244"/>
      <c r="T69" s="244"/>
      <c r="U69" s="244"/>
    </row>
    <row r="70" spans="2:21" ht="12.5">
      <c r="B70" s="145" t="str">
        <f t="shared" si="0"/>
        <v/>
      </c>
      <c r="C70" s="496">
        <f>IF(D11="","-",+C69+1)</f>
        <v>2067</v>
      </c>
      <c r="D70" s="509">
        <f>IF(F69+SUM(E$17:E69)=D$10,F69,D$10-SUM(E$17:E69))</f>
        <v>0</v>
      </c>
      <c r="E70" s="510">
        <f t="shared" si="7"/>
        <v>0</v>
      </c>
      <c r="F70" s="511">
        <f t="shared" si="8"/>
        <v>0</v>
      </c>
      <c r="G70" s="512">
        <f t="shared" si="9"/>
        <v>0</v>
      </c>
      <c r="H70" s="478">
        <f t="shared" si="10"/>
        <v>0</v>
      </c>
      <c r="I70" s="501">
        <f t="shared" si="6"/>
        <v>0</v>
      </c>
      <c r="J70" s="501"/>
      <c r="K70" s="513"/>
      <c r="L70" s="505">
        <f t="shared" si="11"/>
        <v>0</v>
      </c>
      <c r="M70" s="513"/>
      <c r="N70" s="505">
        <f t="shared" si="4"/>
        <v>0</v>
      </c>
      <c r="O70" s="505">
        <f t="shared" si="5"/>
        <v>0</v>
      </c>
      <c r="P70" s="279"/>
      <c r="R70" s="244"/>
      <c r="S70" s="244"/>
      <c r="T70" s="244"/>
      <c r="U70" s="244"/>
    </row>
    <row r="71" spans="2:21" ht="12.5">
      <c r="B71" s="145" t="str">
        <f t="shared" si="0"/>
        <v/>
      </c>
      <c r="C71" s="496">
        <f>IF(D11="","-",+C70+1)</f>
        <v>2068</v>
      </c>
      <c r="D71" s="509">
        <f>IF(F70+SUM(E$17:E70)=D$10,F70,D$10-SUM(E$17:E70))</f>
        <v>0</v>
      </c>
      <c r="E71" s="510">
        <f t="shared" si="7"/>
        <v>0</v>
      </c>
      <c r="F71" s="511">
        <f t="shared" si="8"/>
        <v>0</v>
      </c>
      <c r="G71" s="512">
        <f t="shared" si="9"/>
        <v>0</v>
      </c>
      <c r="H71" s="478">
        <f t="shared" si="10"/>
        <v>0</v>
      </c>
      <c r="I71" s="501">
        <f t="shared" si="6"/>
        <v>0</v>
      </c>
      <c r="J71" s="501"/>
      <c r="K71" s="513"/>
      <c r="L71" s="505">
        <f t="shared" si="11"/>
        <v>0</v>
      </c>
      <c r="M71" s="513"/>
      <c r="N71" s="505">
        <f t="shared" si="4"/>
        <v>0</v>
      </c>
      <c r="O71" s="505">
        <f t="shared" si="5"/>
        <v>0</v>
      </c>
      <c r="P71" s="279"/>
      <c r="R71" s="244"/>
      <c r="S71" s="244"/>
      <c r="T71" s="244"/>
      <c r="U71" s="244"/>
    </row>
    <row r="72" spans="2:21" ht="12.5">
      <c r="B72" s="145" t="str">
        <f t="shared" si="0"/>
        <v/>
      </c>
      <c r="C72" s="496">
        <f>IF(D11="","-",+C71+1)</f>
        <v>2069</v>
      </c>
      <c r="D72" s="509">
        <f>IF(F71+SUM(E$17:E71)=D$10,F71,D$10-SUM(E$17:E71))</f>
        <v>0</v>
      </c>
      <c r="E72" s="510">
        <f t="shared" si="7"/>
        <v>0</v>
      </c>
      <c r="F72" s="511">
        <f t="shared" si="8"/>
        <v>0</v>
      </c>
      <c r="G72" s="512">
        <f t="shared" si="9"/>
        <v>0</v>
      </c>
      <c r="H72" s="478">
        <f t="shared" si="10"/>
        <v>0</v>
      </c>
      <c r="I72" s="501">
        <f t="shared" si="6"/>
        <v>0</v>
      </c>
      <c r="J72" s="501"/>
      <c r="K72" s="513"/>
      <c r="L72" s="505">
        <f t="shared" si="11"/>
        <v>0</v>
      </c>
      <c r="M72" s="513"/>
      <c r="N72" s="505">
        <f t="shared" si="4"/>
        <v>0</v>
      </c>
      <c r="O72" s="505">
        <f t="shared" si="5"/>
        <v>0</v>
      </c>
      <c r="P72" s="279"/>
      <c r="R72" s="244"/>
      <c r="S72" s="244"/>
      <c r="T72" s="244"/>
      <c r="U72" s="244"/>
    </row>
    <row r="73" spans="2:21" ht="13" thickBot="1">
      <c r="B73" s="145" t="str">
        <f t="shared" si="0"/>
        <v/>
      </c>
      <c r="C73" s="525">
        <f>IF(D11="","-",+C72+1)</f>
        <v>2070</v>
      </c>
      <c r="D73" s="526">
        <f>IF(F72+SUM(E$17:E72)=D$10,F72,D$10-SUM(E$17:E72))</f>
        <v>0</v>
      </c>
      <c r="E73" s="527">
        <f t="shared" si="7"/>
        <v>0</v>
      </c>
      <c r="F73" s="528">
        <f t="shared" si="8"/>
        <v>0</v>
      </c>
      <c r="G73" s="528">
        <f t="shared" si="9"/>
        <v>0</v>
      </c>
      <c r="H73" s="528">
        <f t="shared" si="10"/>
        <v>0</v>
      </c>
      <c r="I73" s="530">
        <f t="shared" si="6"/>
        <v>0</v>
      </c>
      <c r="J73" s="501"/>
      <c r="K73" s="531"/>
      <c r="L73" s="532">
        <f t="shared" si="11"/>
        <v>0</v>
      </c>
      <c r="M73" s="531"/>
      <c r="N73" s="532">
        <f t="shared" si="4"/>
        <v>0</v>
      </c>
      <c r="O73" s="532">
        <f t="shared" si="5"/>
        <v>0</v>
      </c>
      <c r="P73" s="279"/>
      <c r="R73" s="244"/>
      <c r="S73" s="244"/>
      <c r="T73" s="244"/>
      <c r="U73" s="244"/>
    </row>
    <row r="74" spans="2:21" ht="12.5">
      <c r="C74" s="350" t="s">
        <v>75</v>
      </c>
      <c r="D74" s="295"/>
      <c r="E74" s="295">
        <f>SUM(E17:E73)</f>
        <v>20248059.999999996</v>
      </c>
      <c r="F74" s="295"/>
      <c r="G74" s="295">
        <f>SUM(G17:G73)</f>
        <v>68995207.403514072</v>
      </c>
      <c r="H74" s="295">
        <f>SUM(H17:H73)</f>
        <v>68995207.403514072</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439" t="str">
        <f ca="1">P1</f>
        <v>OKT Project 11 of 19</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2019</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2500163.2849116144</v>
      </c>
      <c r="N88" s="545">
        <f>IF(J93&lt;D11,0,VLOOKUP(J93,C17:O73,11))</f>
        <v>2500163.2849116144</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2563418.1251169378</v>
      </c>
      <c r="N89" s="549">
        <f>IF(J93&lt;D11,0,VLOOKUP(J93,C100:P155,7))</f>
        <v>2563418.1251169378</v>
      </c>
      <c r="O89" s="550">
        <f>+N89-M89</f>
        <v>0</v>
      </c>
      <c r="P89" s="244"/>
      <c r="Q89" s="244"/>
      <c r="R89" s="244"/>
      <c r="S89" s="244"/>
      <c r="T89" s="244"/>
      <c r="U89" s="244"/>
    </row>
    <row r="90" spans="1:21" ht="13.5" thickBot="1">
      <c r="C90" s="455" t="s">
        <v>82</v>
      </c>
      <c r="D90" s="551" t="str">
        <f>+D7</f>
        <v>Grady Customer Connection</v>
      </c>
      <c r="E90" s="244"/>
      <c r="F90" s="244"/>
      <c r="G90" s="244"/>
      <c r="H90" s="244"/>
      <c r="I90" s="326"/>
      <c r="J90" s="326"/>
      <c r="K90" s="552"/>
      <c r="L90" s="553" t="s">
        <v>135</v>
      </c>
      <c r="M90" s="554">
        <f>+M89-M88</f>
        <v>63254.840205323417</v>
      </c>
      <c r="N90" s="554">
        <f>+N89-N88</f>
        <v>63254.840205323417</v>
      </c>
      <c r="O90" s="555">
        <f>+O89-O88</f>
        <v>0</v>
      </c>
      <c r="P90" s="244"/>
      <c r="Q90" s="244"/>
      <c r="R90" s="244"/>
      <c r="S90" s="244"/>
      <c r="T90" s="244"/>
      <c r="U90" s="244"/>
    </row>
    <row r="91" spans="1:21" ht="13.5" thickBot="1">
      <c r="C91" s="533"/>
      <c r="D91" s="627" t="str">
        <f>IF(D8="","",D8)</f>
        <v>***Sch. 11 recovery commenced in 2015 rate year***</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TP2013002</v>
      </c>
      <c r="E92" s="559"/>
      <c r="F92" s="559"/>
      <c r="G92" s="559"/>
      <c r="H92" s="559"/>
      <c r="I92" s="559"/>
      <c r="J92" s="559"/>
      <c r="K92" s="561"/>
      <c r="P92" s="469"/>
      <c r="Q92" s="244"/>
      <c r="R92" s="244"/>
      <c r="S92" s="244"/>
      <c r="T92" s="244"/>
      <c r="U92" s="244"/>
    </row>
    <row r="93" spans="1:21" ht="13">
      <c r="C93" s="473" t="s">
        <v>49</v>
      </c>
      <c r="D93" s="623">
        <v>20242585</v>
      </c>
      <c r="E93" s="249" t="s">
        <v>84</v>
      </c>
      <c r="H93" s="409"/>
      <c r="I93" s="409"/>
      <c r="J93" s="472">
        <f>+'OKT.WS.G.BPU.ATRR.True-up'!M16</f>
        <v>2019</v>
      </c>
      <c r="K93" s="468"/>
      <c r="L93" s="295" t="s">
        <v>85</v>
      </c>
      <c r="P93" s="279"/>
      <c r="Q93" s="244"/>
      <c r="R93" s="244"/>
      <c r="S93" s="244"/>
      <c r="T93" s="244"/>
      <c r="U93" s="244"/>
    </row>
    <row r="94" spans="1:21" ht="12.5">
      <c r="C94" s="473" t="s">
        <v>52</v>
      </c>
      <c r="D94" s="562">
        <f>D11</f>
        <v>2014</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62">
        <f>D12</f>
        <v>11</v>
      </c>
      <c r="E95" s="473" t="s">
        <v>55</v>
      </c>
      <c r="F95" s="409"/>
      <c r="G95" s="409"/>
      <c r="J95" s="477">
        <f>'OKT.WS.G.BPU.ATRR.True-up'!$F$81</f>
        <v>0.10800922592579221</v>
      </c>
      <c r="K95" s="414"/>
      <c r="L95" s="145" t="s">
        <v>86</v>
      </c>
      <c r="P95" s="279"/>
      <c r="Q95" s="244"/>
      <c r="R95" s="244"/>
      <c r="S95" s="244"/>
      <c r="T95" s="244"/>
      <c r="U95" s="244"/>
    </row>
    <row r="96" spans="1:21" ht="12.5">
      <c r="C96" s="473" t="s">
        <v>57</v>
      </c>
      <c r="D96" s="475">
        <f>'OKT.WS.G.BPU.ATRR.True-up'!F$93</f>
        <v>33</v>
      </c>
      <c r="E96" s="473" t="s">
        <v>58</v>
      </c>
      <c r="F96" s="409"/>
      <c r="G96" s="409"/>
      <c r="J96" s="477">
        <f>IF(H88="",J95,'OKT.WS.G.BPU.ATRR.True-up'!$F$80)</f>
        <v>0.10800922592579221</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613411.66666666663</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494" t="s">
        <v>71</v>
      </c>
      <c r="I99" s="490" t="s">
        <v>72</v>
      </c>
      <c r="J99" s="491" t="s">
        <v>93</v>
      </c>
      <c r="K99" s="492"/>
      <c r="L99" s="493" t="s">
        <v>74</v>
      </c>
      <c r="M99" s="493" t="s">
        <v>74</v>
      </c>
      <c r="N99" s="493" t="s">
        <v>94</v>
      </c>
      <c r="O99" s="493" t="s">
        <v>94</v>
      </c>
      <c r="P99" s="493" t="s">
        <v>94</v>
      </c>
      <c r="Q99" s="244"/>
      <c r="R99" s="244"/>
      <c r="S99" s="244"/>
      <c r="T99" s="244"/>
      <c r="U99" s="244"/>
    </row>
    <row r="100" spans="1:21" ht="12.5">
      <c r="C100" s="496">
        <f>IF(D94= "","-",D94)</f>
        <v>2014</v>
      </c>
      <c r="D100" s="350"/>
      <c r="E100" s="512"/>
      <c r="F100" s="511"/>
      <c r="G100" s="606"/>
      <c r="H100" s="606"/>
      <c r="I100" s="606"/>
      <c r="J100" s="505"/>
      <c r="K100" s="505"/>
      <c r="L100" s="502"/>
      <c r="M100" s="503">
        <f t="shared" ref="M100:M131" si="12">IF(L100&lt;&gt;0,+H100-L100,0)</f>
        <v>0</v>
      </c>
      <c r="N100" s="502"/>
      <c r="O100" s="504">
        <f t="shared" ref="O100:O131" si="13">IF(N100&lt;&gt;0,+I100-N100,0)</f>
        <v>0</v>
      </c>
      <c r="P100" s="504">
        <f t="shared" ref="P100:P131" si="14">+O100-M100</f>
        <v>0</v>
      </c>
      <c r="Q100" s="244"/>
      <c r="R100" s="244"/>
      <c r="S100" s="244"/>
      <c r="T100" s="244"/>
      <c r="U100" s="244"/>
    </row>
    <row r="101" spans="1:21" ht="12.5">
      <c r="B101" s="145" t="str">
        <f t="shared" ref="B101:B155" si="15">IF(D101=F100,"","IU")</f>
        <v>IU</v>
      </c>
      <c r="C101" s="496">
        <f>IF(D94="","-",+C100+1)</f>
        <v>2015</v>
      </c>
      <c r="D101" s="497">
        <v>19016226.275360011</v>
      </c>
      <c r="E101" s="499">
        <v>416545.33333333331</v>
      </c>
      <c r="F101" s="506">
        <v>18599680.942026678</v>
      </c>
      <c r="G101" s="506">
        <v>18807953.608693346</v>
      </c>
      <c r="H101" s="499">
        <v>2510424.0615898012</v>
      </c>
      <c r="I101" s="500">
        <v>2510424.0615898012</v>
      </c>
      <c r="J101" s="505">
        <v>0</v>
      </c>
      <c r="K101" s="505"/>
      <c r="L101" s="507">
        <f>H101</f>
        <v>2510424.0615898012</v>
      </c>
      <c r="M101" s="505">
        <f>IF(L101&lt;&gt;0,+H101-L101,0)</f>
        <v>0</v>
      </c>
      <c r="N101" s="507">
        <f>I101</f>
        <v>2510424.0615898012</v>
      </c>
      <c r="O101" s="505">
        <f t="shared" si="13"/>
        <v>0</v>
      </c>
      <c r="P101" s="505">
        <f t="shared" si="14"/>
        <v>0</v>
      </c>
      <c r="Q101" s="244"/>
      <c r="R101" s="244"/>
      <c r="S101" s="244"/>
      <c r="T101" s="244"/>
      <c r="U101" s="244"/>
    </row>
    <row r="102" spans="1:21" ht="12.5">
      <c r="B102" s="145" t="str">
        <f t="shared" si="15"/>
        <v>IU</v>
      </c>
      <c r="C102" s="496">
        <f>IF(D94="","-",+C101+1)</f>
        <v>2016</v>
      </c>
      <c r="D102" s="497">
        <v>19825461.666666668</v>
      </c>
      <c r="E102" s="499">
        <v>396902.09803921566</v>
      </c>
      <c r="F102" s="506">
        <v>19428559.568627451</v>
      </c>
      <c r="G102" s="506">
        <v>19627010.617647059</v>
      </c>
      <c r="H102" s="499">
        <v>2523870.6286029778</v>
      </c>
      <c r="I102" s="500">
        <v>2523870.6286029778</v>
      </c>
      <c r="J102" s="505">
        <f>+I102-H102</f>
        <v>0</v>
      </c>
      <c r="K102" s="505"/>
      <c r="L102" s="507">
        <f>H102</f>
        <v>2523870.6286029778</v>
      </c>
      <c r="M102" s="505">
        <f>IF(L102&lt;&gt;0,+H102-L102,0)</f>
        <v>0</v>
      </c>
      <c r="N102" s="507">
        <f>I102</f>
        <v>2523870.6286029778</v>
      </c>
      <c r="O102" s="505">
        <f>IF(N102&lt;&gt;0,+I102-N102,0)</f>
        <v>0</v>
      </c>
      <c r="P102" s="505">
        <f>+O102-M102</f>
        <v>0</v>
      </c>
      <c r="Q102" s="244"/>
      <c r="R102" s="244"/>
      <c r="S102" s="244"/>
      <c r="T102" s="244"/>
      <c r="U102" s="244"/>
    </row>
    <row r="103" spans="1:21" ht="12.5">
      <c r="B103" s="145" t="str">
        <f t="shared" si="15"/>
        <v>IU</v>
      </c>
      <c r="C103" s="496">
        <f>IF(D94="","-",+C102+1)</f>
        <v>2017</v>
      </c>
      <c r="D103" s="497">
        <v>19429137.568627451</v>
      </c>
      <c r="E103" s="499">
        <v>506064.625</v>
      </c>
      <c r="F103" s="506">
        <v>18923072.943627451</v>
      </c>
      <c r="G103" s="506">
        <v>19176105.256127451</v>
      </c>
      <c r="H103" s="499">
        <v>2756109.5074390932</v>
      </c>
      <c r="I103" s="500">
        <v>2756109.5074390932</v>
      </c>
      <c r="J103" s="505">
        <v>0</v>
      </c>
      <c r="K103" s="505"/>
      <c r="L103" s="507">
        <f>H103</f>
        <v>2756109.5074390932</v>
      </c>
      <c r="M103" s="505">
        <f>IF(L103&lt;&gt;0,+H103-L103,0)</f>
        <v>0</v>
      </c>
      <c r="N103" s="507">
        <f>I103</f>
        <v>2756109.5074390932</v>
      </c>
      <c r="O103" s="505">
        <f>IF(N103&lt;&gt;0,+I103-N103,0)</f>
        <v>0</v>
      </c>
      <c r="P103" s="505">
        <f>+O103-M103</f>
        <v>0</v>
      </c>
      <c r="Q103" s="244"/>
      <c r="R103" s="244"/>
      <c r="S103" s="244"/>
      <c r="T103" s="244"/>
      <c r="U103" s="244"/>
    </row>
    <row r="104" spans="1:21" ht="12.5">
      <c r="B104" s="145" t="str">
        <f t="shared" si="15"/>
        <v/>
      </c>
      <c r="C104" s="496">
        <f>IF(D94="","-",+C103+1)</f>
        <v>2018</v>
      </c>
      <c r="D104" s="497">
        <v>18923072.943627451</v>
      </c>
      <c r="E104" s="499">
        <v>562294.02777777775</v>
      </c>
      <c r="F104" s="506">
        <v>18360778.915849674</v>
      </c>
      <c r="G104" s="506">
        <v>18641925.929738563</v>
      </c>
      <c r="H104" s="499">
        <v>2530181.3848446766</v>
      </c>
      <c r="I104" s="500">
        <v>2530181.3848446766</v>
      </c>
      <c r="J104" s="505">
        <f t="shared" ref="J104:J155" si="16">+I104-H104</f>
        <v>0</v>
      </c>
      <c r="K104" s="505"/>
      <c r="L104" s="507">
        <f>H104</f>
        <v>2530181.3848446766</v>
      </c>
      <c r="M104" s="505">
        <f>IF(L104&lt;&gt;0,+H104-L104,0)</f>
        <v>0</v>
      </c>
      <c r="N104" s="507">
        <f>I104</f>
        <v>2530181.3848446766</v>
      </c>
      <c r="O104" s="505">
        <f>IF(N104&lt;&gt;0,+I104-N104,0)</f>
        <v>0</v>
      </c>
      <c r="P104" s="505">
        <f>+O104-M104</f>
        <v>0</v>
      </c>
      <c r="Q104" s="244"/>
      <c r="R104" s="244"/>
      <c r="S104" s="244"/>
      <c r="T104" s="244"/>
      <c r="U104" s="244"/>
    </row>
    <row r="105" spans="1:21" ht="12.5">
      <c r="B105" s="145" t="str">
        <f t="shared" si="15"/>
        <v/>
      </c>
      <c r="C105" s="496">
        <f>IF(D94="","-",+C104+1)</f>
        <v>2019</v>
      </c>
      <c r="D105" s="350">
        <f>IF(F104+SUM(E$100:E104)=D$93,F104,D$93-SUM(E$100:E104))</f>
        <v>18360778.915849674</v>
      </c>
      <c r="E105" s="630">
        <f t="shared" ref="E105:E155" si="17">IF(+$J$97&lt;F104,$J$97,D105)</f>
        <v>613411.66666666663</v>
      </c>
      <c r="F105" s="511">
        <f t="shared" ref="F105:F155" si="18">+D105-E105</f>
        <v>17747367.249183007</v>
      </c>
      <c r="G105" s="511">
        <f t="shared" ref="G105:G155" si="19">+(F105+D105)/2</f>
        <v>18054073.082516342</v>
      </c>
      <c r="H105" s="631">
        <f t="shared" ref="H105:H155" si="20">+J$95*G105+E105</f>
        <v>2563418.1251169378</v>
      </c>
      <c r="I105" s="632">
        <f t="shared" ref="I105:I155" si="21">+J$96*G105+E105</f>
        <v>2563418.1251169378</v>
      </c>
      <c r="J105" s="505">
        <f t="shared" si="16"/>
        <v>0</v>
      </c>
      <c r="K105" s="505"/>
      <c r="L105" s="513"/>
      <c r="M105" s="505">
        <f t="shared" si="12"/>
        <v>0</v>
      </c>
      <c r="N105" s="513"/>
      <c r="O105" s="505">
        <f t="shared" si="13"/>
        <v>0</v>
      </c>
      <c r="P105" s="505">
        <f t="shared" si="14"/>
        <v>0</v>
      </c>
      <c r="Q105" s="244"/>
      <c r="R105" s="244"/>
      <c r="S105" s="244"/>
      <c r="T105" s="244"/>
      <c r="U105" s="244"/>
    </row>
    <row r="106" spans="1:21" ht="12.5">
      <c r="B106" s="145" t="str">
        <f t="shared" si="15"/>
        <v/>
      </c>
      <c r="C106" s="496">
        <f>IF(D94="","-",+C105+1)</f>
        <v>2020</v>
      </c>
      <c r="D106" s="350">
        <f>IF(F105+SUM(E$100:E105)=D$93,F105,D$93-SUM(E$100:E105))</f>
        <v>17747367.249183007</v>
      </c>
      <c r="E106" s="630">
        <f t="shared" si="17"/>
        <v>613411.66666666663</v>
      </c>
      <c r="F106" s="511">
        <f t="shared" si="18"/>
        <v>17133955.582516339</v>
      </c>
      <c r="G106" s="511">
        <f t="shared" si="19"/>
        <v>17440661.415849671</v>
      </c>
      <c r="H106" s="631">
        <f t="shared" si="20"/>
        <v>2497164.0058264206</v>
      </c>
      <c r="I106" s="632">
        <f t="shared" si="21"/>
        <v>2497164.0058264206</v>
      </c>
      <c r="J106" s="505">
        <f t="shared" si="16"/>
        <v>0</v>
      </c>
      <c r="K106" s="505"/>
      <c r="L106" s="513"/>
      <c r="M106" s="505">
        <f t="shared" si="12"/>
        <v>0</v>
      </c>
      <c r="N106" s="513"/>
      <c r="O106" s="505">
        <f t="shared" si="13"/>
        <v>0</v>
      </c>
      <c r="P106" s="505">
        <f t="shared" si="14"/>
        <v>0</v>
      </c>
      <c r="Q106" s="244"/>
      <c r="R106" s="244"/>
      <c r="S106" s="244"/>
      <c r="T106" s="244"/>
      <c r="U106" s="244"/>
    </row>
    <row r="107" spans="1:21" ht="12.5">
      <c r="B107" s="145" t="str">
        <f t="shared" si="15"/>
        <v/>
      </c>
      <c r="C107" s="496">
        <f>IF(D94="","-",+C106+1)</f>
        <v>2021</v>
      </c>
      <c r="D107" s="350">
        <f>IF(F106+SUM(E$100:E106)=D$93,F106,D$93-SUM(E$100:E106))</f>
        <v>17133955.582516339</v>
      </c>
      <c r="E107" s="630">
        <f t="shared" si="17"/>
        <v>613411.66666666663</v>
      </c>
      <c r="F107" s="511">
        <f t="shared" si="18"/>
        <v>16520543.915849673</v>
      </c>
      <c r="G107" s="511">
        <f t="shared" si="19"/>
        <v>16827249.749183007</v>
      </c>
      <c r="H107" s="631">
        <f t="shared" si="20"/>
        <v>2430909.8865359044</v>
      </c>
      <c r="I107" s="632">
        <f t="shared" si="21"/>
        <v>2430909.8865359044</v>
      </c>
      <c r="J107" s="505">
        <f t="shared" si="16"/>
        <v>0</v>
      </c>
      <c r="K107" s="505"/>
      <c r="L107" s="513"/>
      <c r="M107" s="505">
        <f t="shared" si="12"/>
        <v>0</v>
      </c>
      <c r="N107" s="513"/>
      <c r="O107" s="505">
        <f t="shared" si="13"/>
        <v>0</v>
      </c>
      <c r="P107" s="505">
        <f t="shared" si="14"/>
        <v>0</v>
      </c>
      <c r="Q107" s="244"/>
      <c r="R107" s="244"/>
      <c r="S107" s="244"/>
      <c r="T107" s="244"/>
      <c r="U107" s="244"/>
    </row>
    <row r="108" spans="1:21" ht="12.5">
      <c r="B108" s="145" t="str">
        <f t="shared" si="15"/>
        <v/>
      </c>
      <c r="C108" s="496">
        <f>IF(D94="","-",+C107+1)</f>
        <v>2022</v>
      </c>
      <c r="D108" s="350">
        <f>IF(F107+SUM(E$100:E107)=D$93,F107,D$93-SUM(E$100:E107))</f>
        <v>16520543.915849673</v>
      </c>
      <c r="E108" s="630">
        <f t="shared" si="17"/>
        <v>613411.66666666663</v>
      </c>
      <c r="F108" s="511">
        <f t="shared" si="18"/>
        <v>15907132.249183007</v>
      </c>
      <c r="G108" s="511">
        <f t="shared" si="19"/>
        <v>16213838.082516339</v>
      </c>
      <c r="H108" s="631">
        <f t="shared" si="20"/>
        <v>2364655.7672453872</v>
      </c>
      <c r="I108" s="632">
        <f t="shared" si="21"/>
        <v>2364655.7672453872</v>
      </c>
      <c r="J108" s="505">
        <f t="shared" si="16"/>
        <v>0</v>
      </c>
      <c r="K108" s="505"/>
      <c r="L108" s="513"/>
      <c r="M108" s="505">
        <f t="shared" si="12"/>
        <v>0</v>
      </c>
      <c r="N108" s="513"/>
      <c r="O108" s="505">
        <f t="shared" si="13"/>
        <v>0</v>
      </c>
      <c r="P108" s="505">
        <f t="shared" si="14"/>
        <v>0</v>
      </c>
      <c r="Q108" s="244"/>
      <c r="R108" s="244"/>
      <c r="S108" s="244"/>
      <c r="T108" s="244"/>
      <c r="U108" s="244"/>
    </row>
    <row r="109" spans="1:21" ht="12.5">
      <c r="B109" s="145" t="str">
        <f t="shared" si="15"/>
        <v/>
      </c>
      <c r="C109" s="496">
        <f>IF(D94="","-",+C108+1)</f>
        <v>2023</v>
      </c>
      <c r="D109" s="350">
        <f>IF(F108+SUM(E$100:E108)=D$93,F108,D$93-SUM(E$100:E108))</f>
        <v>15907132.249183007</v>
      </c>
      <c r="E109" s="630">
        <f t="shared" si="17"/>
        <v>613411.66666666663</v>
      </c>
      <c r="F109" s="511">
        <f t="shared" si="18"/>
        <v>15293720.582516341</v>
      </c>
      <c r="G109" s="511">
        <f t="shared" si="19"/>
        <v>15600426.415849674</v>
      </c>
      <c r="H109" s="631">
        <f t="shared" si="20"/>
        <v>2298401.6479548709</v>
      </c>
      <c r="I109" s="632">
        <f t="shared" si="21"/>
        <v>2298401.6479548709</v>
      </c>
      <c r="J109" s="505">
        <f t="shared" si="16"/>
        <v>0</v>
      </c>
      <c r="K109" s="505"/>
      <c r="L109" s="513"/>
      <c r="M109" s="505">
        <f t="shared" si="12"/>
        <v>0</v>
      </c>
      <c r="N109" s="513"/>
      <c r="O109" s="505">
        <f t="shared" si="13"/>
        <v>0</v>
      </c>
      <c r="P109" s="505">
        <f t="shared" si="14"/>
        <v>0</v>
      </c>
      <c r="Q109" s="244"/>
      <c r="R109" s="244"/>
      <c r="S109" s="244"/>
      <c r="T109" s="244"/>
      <c r="U109" s="244"/>
    </row>
    <row r="110" spans="1:21" ht="12.5">
      <c r="B110" s="145" t="str">
        <f t="shared" si="15"/>
        <v/>
      </c>
      <c r="C110" s="496">
        <f>IF(D94="","-",+C109+1)</f>
        <v>2024</v>
      </c>
      <c r="D110" s="350">
        <f>IF(F109+SUM(E$100:E109)=D$93,F109,D$93-SUM(E$100:E109))</f>
        <v>15293720.582516341</v>
      </c>
      <c r="E110" s="630">
        <f t="shared" si="17"/>
        <v>613411.66666666663</v>
      </c>
      <c r="F110" s="511">
        <f t="shared" si="18"/>
        <v>14680308.915849674</v>
      </c>
      <c r="G110" s="511">
        <f t="shared" si="19"/>
        <v>14987014.749183007</v>
      </c>
      <c r="H110" s="631">
        <f t="shared" si="20"/>
        <v>2232147.5286643542</v>
      </c>
      <c r="I110" s="632">
        <f t="shared" si="21"/>
        <v>2232147.5286643542</v>
      </c>
      <c r="J110" s="505">
        <f t="shared" si="16"/>
        <v>0</v>
      </c>
      <c r="K110" s="505"/>
      <c r="L110" s="513"/>
      <c r="M110" s="505">
        <f t="shared" si="12"/>
        <v>0</v>
      </c>
      <c r="N110" s="513"/>
      <c r="O110" s="505">
        <f t="shared" si="13"/>
        <v>0</v>
      </c>
      <c r="P110" s="505">
        <f t="shared" si="14"/>
        <v>0</v>
      </c>
      <c r="Q110" s="244"/>
      <c r="R110" s="244"/>
      <c r="S110" s="244"/>
      <c r="T110" s="244"/>
      <c r="U110" s="244"/>
    </row>
    <row r="111" spans="1:21" ht="12.5">
      <c r="B111" s="145" t="str">
        <f t="shared" si="15"/>
        <v/>
      </c>
      <c r="C111" s="496">
        <f>IF(D94="","-",+C110+1)</f>
        <v>2025</v>
      </c>
      <c r="D111" s="350">
        <f>IF(F110+SUM(E$100:E110)=D$93,F110,D$93-SUM(E$100:E110))</f>
        <v>14680308.915849674</v>
      </c>
      <c r="E111" s="630">
        <f t="shared" si="17"/>
        <v>613411.66666666663</v>
      </c>
      <c r="F111" s="511">
        <f t="shared" si="18"/>
        <v>14066897.249183008</v>
      </c>
      <c r="G111" s="511">
        <f t="shared" si="19"/>
        <v>14373603.082516342</v>
      </c>
      <c r="H111" s="631">
        <f t="shared" si="20"/>
        <v>2165893.4093738375</v>
      </c>
      <c r="I111" s="632">
        <f t="shared" si="21"/>
        <v>2165893.4093738375</v>
      </c>
      <c r="J111" s="505">
        <f t="shared" si="16"/>
        <v>0</v>
      </c>
      <c r="K111" s="505"/>
      <c r="L111" s="513"/>
      <c r="M111" s="505">
        <f t="shared" si="12"/>
        <v>0</v>
      </c>
      <c r="N111" s="513"/>
      <c r="O111" s="505">
        <f t="shared" si="13"/>
        <v>0</v>
      </c>
      <c r="P111" s="505">
        <f t="shared" si="14"/>
        <v>0</v>
      </c>
      <c r="Q111" s="244"/>
      <c r="R111" s="244"/>
      <c r="S111" s="244"/>
      <c r="T111" s="244"/>
      <c r="U111" s="244"/>
    </row>
    <row r="112" spans="1:21" ht="12.5">
      <c r="B112" s="145" t="str">
        <f t="shared" si="15"/>
        <v/>
      </c>
      <c r="C112" s="496">
        <f>IF(D94="","-",+C111+1)</f>
        <v>2026</v>
      </c>
      <c r="D112" s="350">
        <f>IF(F111+SUM(E$100:E111)=D$93,F111,D$93-SUM(E$100:E111))</f>
        <v>14066897.249183008</v>
      </c>
      <c r="E112" s="630">
        <f t="shared" si="17"/>
        <v>613411.66666666663</v>
      </c>
      <c r="F112" s="511">
        <f t="shared" si="18"/>
        <v>13453485.582516342</v>
      </c>
      <c r="G112" s="511">
        <f t="shared" si="19"/>
        <v>13760191.415849674</v>
      </c>
      <c r="H112" s="631">
        <f t="shared" si="20"/>
        <v>2099639.2900833208</v>
      </c>
      <c r="I112" s="632">
        <f t="shared" si="21"/>
        <v>2099639.2900833208</v>
      </c>
      <c r="J112" s="505">
        <f t="shared" si="16"/>
        <v>0</v>
      </c>
      <c r="K112" s="505"/>
      <c r="L112" s="513"/>
      <c r="M112" s="505">
        <f t="shared" si="12"/>
        <v>0</v>
      </c>
      <c r="N112" s="513"/>
      <c r="O112" s="505">
        <f t="shared" si="13"/>
        <v>0</v>
      </c>
      <c r="P112" s="505">
        <f t="shared" si="14"/>
        <v>0</v>
      </c>
      <c r="Q112" s="244"/>
      <c r="R112" s="244"/>
      <c r="S112" s="244"/>
      <c r="T112" s="244"/>
      <c r="U112" s="244"/>
    </row>
    <row r="113" spans="2:21" ht="12.5">
      <c r="B113" s="145" t="str">
        <f t="shared" si="15"/>
        <v/>
      </c>
      <c r="C113" s="496">
        <f>IF(D94="","-",+C112+1)</f>
        <v>2027</v>
      </c>
      <c r="D113" s="350">
        <f>IF(F112+SUM(E$100:E112)=D$93,F112,D$93-SUM(E$100:E112))</f>
        <v>13453485.582516342</v>
      </c>
      <c r="E113" s="630">
        <f t="shared" si="17"/>
        <v>613411.66666666663</v>
      </c>
      <c r="F113" s="511">
        <f t="shared" si="18"/>
        <v>12840073.915849676</v>
      </c>
      <c r="G113" s="511">
        <f t="shared" si="19"/>
        <v>13146779.74918301</v>
      </c>
      <c r="H113" s="631">
        <f t="shared" si="20"/>
        <v>2033385.1707928041</v>
      </c>
      <c r="I113" s="632">
        <f t="shared" si="21"/>
        <v>2033385.1707928041</v>
      </c>
      <c r="J113" s="505">
        <f t="shared" si="16"/>
        <v>0</v>
      </c>
      <c r="K113" s="505"/>
      <c r="L113" s="513"/>
      <c r="M113" s="505">
        <f t="shared" si="12"/>
        <v>0</v>
      </c>
      <c r="N113" s="513"/>
      <c r="O113" s="505">
        <f t="shared" si="13"/>
        <v>0</v>
      </c>
      <c r="P113" s="505">
        <f t="shared" si="14"/>
        <v>0</v>
      </c>
      <c r="Q113" s="244"/>
      <c r="R113" s="244"/>
      <c r="S113" s="244"/>
      <c r="T113" s="244"/>
      <c r="U113" s="244"/>
    </row>
    <row r="114" spans="2:21" ht="12.5">
      <c r="B114" s="145" t="str">
        <f t="shared" si="15"/>
        <v/>
      </c>
      <c r="C114" s="496">
        <f>IF(D94="","-",+C113+1)</f>
        <v>2028</v>
      </c>
      <c r="D114" s="350">
        <f>IF(F113+SUM(E$100:E113)=D$93,F113,D$93-SUM(E$100:E113))</f>
        <v>12840073.915849676</v>
      </c>
      <c r="E114" s="630">
        <f t="shared" si="17"/>
        <v>613411.66666666663</v>
      </c>
      <c r="F114" s="511">
        <f t="shared" si="18"/>
        <v>12226662.24918301</v>
      </c>
      <c r="G114" s="511">
        <f t="shared" si="19"/>
        <v>12533368.082516342</v>
      </c>
      <c r="H114" s="631">
        <f t="shared" si="20"/>
        <v>1967131.0515022874</v>
      </c>
      <c r="I114" s="632">
        <f t="shared" si="21"/>
        <v>1967131.0515022874</v>
      </c>
      <c r="J114" s="505">
        <f t="shared" si="16"/>
        <v>0</v>
      </c>
      <c r="K114" s="505"/>
      <c r="L114" s="513"/>
      <c r="M114" s="505">
        <f t="shared" si="12"/>
        <v>0</v>
      </c>
      <c r="N114" s="513"/>
      <c r="O114" s="505">
        <f t="shared" si="13"/>
        <v>0</v>
      </c>
      <c r="P114" s="505">
        <f t="shared" si="14"/>
        <v>0</v>
      </c>
      <c r="Q114" s="244"/>
      <c r="R114" s="244"/>
      <c r="S114" s="244"/>
      <c r="T114" s="244"/>
      <c r="U114" s="244"/>
    </row>
    <row r="115" spans="2:21" ht="12.5">
      <c r="B115" s="145" t="str">
        <f t="shared" si="15"/>
        <v/>
      </c>
      <c r="C115" s="496">
        <f>IF(D94="","-",+C114+1)</f>
        <v>2029</v>
      </c>
      <c r="D115" s="350">
        <f>IF(F114+SUM(E$100:E114)=D$93,F114,D$93-SUM(E$100:E114))</f>
        <v>12226662.24918301</v>
      </c>
      <c r="E115" s="630">
        <f t="shared" si="17"/>
        <v>613411.66666666663</v>
      </c>
      <c r="F115" s="511">
        <f t="shared" si="18"/>
        <v>11613250.582516344</v>
      </c>
      <c r="G115" s="511">
        <f t="shared" si="19"/>
        <v>11919956.415849678</v>
      </c>
      <c r="H115" s="631">
        <f t="shared" si="20"/>
        <v>1900876.9322117707</v>
      </c>
      <c r="I115" s="632">
        <f t="shared" si="21"/>
        <v>1900876.9322117707</v>
      </c>
      <c r="J115" s="505">
        <f t="shared" si="16"/>
        <v>0</v>
      </c>
      <c r="K115" s="505"/>
      <c r="L115" s="513"/>
      <c r="M115" s="505">
        <f t="shared" si="12"/>
        <v>0</v>
      </c>
      <c r="N115" s="513"/>
      <c r="O115" s="505">
        <f t="shared" si="13"/>
        <v>0</v>
      </c>
      <c r="P115" s="505">
        <f t="shared" si="14"/>
        <v>0</v>
      </c>
      <c r="Q115" s="244"/>
      <c r="R115" s="244"/>
      <c r="S115" s="244"/>
      <c r="T115" s="244"/>
      <c r="U115" s="244"/>
    </row>
    <row r="116" spans="2:21" ht="12.5">
      <c r="B116" s="145" t="str">
        <f t="shared" si="15"/>
        <v/>
      </c>
      <c r="C116" s="496">
        <f>IF(D94="","-",+C115+1)</f>
        <v>2030</v>
      </c>
      <c r="D116" s="350">
        <f>IF(F115+SUM(E$100:E115)=D$93,F115,D$93-SUM(E$100:E115))</f>
        <v>11613250.582516344</v>
      </c>
      <c r="E116" s="630">
        <f t="shared" si="17"/>
        <v>613411.66666666663</v>
      </c>
      <c r="F116" s="511">
        <f t="shared" si="18"/>
        <v>10999838.915849678</v>
      </c>
      <c r="G116" s="511">
        <f t="shared" si="19"/>
        <v>11306544.74918301</v>
      </c>
      <c r="H116" s="631">
        <f t="shared" si="20"/>
        <v>1834622.812921254</v>
      </c>
      <c r="I116" s="632">
        <f t="shared" si="21"/>
        <v>1834622.812921254</v>
      </c>
      <c r="J116" s="505">
        <f t="shared" si="16"/>
        <v>0</v>
      </c>
      <c r="K116" s="505"/>
      <c r="L116" s="513"/>
      <c r="M116" s="505">
        <f t="shared" si="12"/>
        <v>0</v>
      </c>
      <c r="N116" s="513"/>
      <c r="O116" s="505">
        <f t="shared" si="13"/>
        <v>0</v>
      </c>
      <c r="P116" s="505">
        <f t="shared" si="14"/>
        <v>0</v>
      </c>
      <c r="Q116" s="244"/>
      <c r="R116" s="244"/>
      <c r="S116" s="244"/>
      <c r="T116" s="244"/>
      <c r="U116" s="244"/>
    </row>
    <row r="117" spans="2:21" ht="12.5">
      <c r="B117" s="145" t="str">
        <f t="shared" si="15"/>
        <v/>
      </c>
      <c r="C117" s="496">
        <f>IF(D94="","-",+C116+1)</f>
        <v>2031</v>
      </c>
      <c r="D117" s="350">
        <f>IF(F116+SUM(E$100:E116)=D$93,F116,D$93-SUM(E$100:E116))</f>
        <v>10999838.915849678</v>
      </c>
      <c r="E117" s="630">
        <f t="shared" si="17"/>
        <v>613411.66666666663</v>
      </c>
      <c r="F117" s="511">
        <f t="shared" si="18"/>
        <v>10386427.249183012</v>
      </c>
      <c r="G117" s="511">
        <f t="shared" si="19"/>
        <v>10693133.082516346</v>
      </c>
      <c r="H117" s="631">
        <f t="shared" si="20"/>
        <v>1768368.6936307377</v>
      </c>
      <c r="I117" s="632">
        <f t="shared" si="21"/>
        <v>1768368.6936307377</v>
      </c>
      <c r="J117" s="505">
        <f t="shared" si="16"/>
        <v>0</v>
      </c>
      <c r="K117" s="505"/>
      <c r="L117" s="513"/>
      <c r="M117" s="505">
        <f t="shared" si="12"/>
        <v>0</v>
      </c>
      <c r="N117" s="513"/>
      <c r="O117" s="505">
        <f t="shared" si="13"/>
        <v>0</v>
      </c>
      <c r="P117" s="505">
        <f t="shared" si="14"/>
        <v>0</v>
      </c>
      <c r="Q117" s="244"/>
      <c r="R117" s="244"/>
      <c r="S117" s="244"/>
      <c r="T117" s="244"/>
      <c r="U117" s="244"/>
    </row>
    <row r="118" spans="2:21" ht="12.5">
      <c r="B118" s="145" t="str">
        <f t="shared" si="15"/>
        <v/>
      </c>
      <c r="C118" s="496">
        <f>IF(D94="","-",+C117+1)</f>
        <v>2032</v>
      </c>
      <c r="D118" s="350">
        <f>IF(F117+SUM(E$100:E117)=D$93,F117,D$93-SUM(E$100:E117))</f>
        <v>10386427.249183012</v>
      </c>
      <c r="E118" s="630">
        <f t="shared" si="17"/>
        <v>613411.66666666663</v>
      </c>
      <c r="F118" s="511">
        <f t="shared" si="18"/>
        <v>9773015.5825163461</v>
      </c>
      <c r="G118" s="511">
        <f t="shared" si="19"/>
        <v>10079721.415849678</v>
      </c>
      <c r="H118" s="631">
        <f t="shared" si="20"/>
        <v>1702114.5743402205</v>
      </c>
      <c r="I118" s="632">
        <f t="shared" si="21"/>
        <v>1702114.5743402205</v>
      </c>
      <c r="J118" s="505">
        <f t="shared" si="16"/>
        <v>0</v>
      </c>
      <c r="K118" s="505"/>
      <c r="L118" s="513"/>
      <c r="M118" s="505">
        <f t="shared" si="12"/>
        <v>0</v>
      </c>
      <c r="N118" s="513"/>
      <c r="O118" s="505">
        <f t="shared" si="13"/>
        <v>0</v>
      </c>
      <c r="P118" s="505">
        <f t="shared" si="14"/>
        <v>0</v>
      </c>
      <c r="Q118" s="244"/>
      <c r="R118" s="244"/>
      <c r="S118" s="244"/>
      <c r="T118" s="244"/>
      <c r="U118" s="244"/>
    </row>
    <row r="119" spans="2:21" ht="12.5">
      <c r="B119" s="145" t="str">
        <f t="shared" si="15"/>
        <v/>
      </c>
      <c r="C119" s="496">
        <f>IF(D94="","-",+C118+1)</f>
        <v>2033</v>
      </c>
      <c r="D119" s="350">
        <f>IF(F118+SUM(E$100:E118)=D$93,F118,D$93-SUM(E$100:E118))</f>
        <v>9773015.5825163461</v>
      </c>
      <c r="E119" s="630">
        <f t="shared" si="17"/>
        <v>613411.66666666663</v>
      </c>
      <c r="F119" s="511">
        <f t="shared" si="18"/>
        <v>9159603.9158496801</v>
      </c>
      <c r="G119" s="511">
        <f t="shared" si="19"/>
        <v>9466309.749183014</v>
      </c>
      <c r="H119" s="631">
        <f t="shared" si="20"/>
        <v>1635860.4550497043</v>
      </c>
      <c r="I119" s="632">
        <f t="shared" si="21"/>
        <v>1635860.4550497043</v>
      </c>
      <c r="J119" s="505">
        <f t="shared" si="16"/>
        <v>0</v>
      </c>
      <c r="K119" s="505"/>
      <c r="L119" s="513"/>
      <c r="M119" s="505">
        <f t="shared" si="12"/>
        <v>0</v>
      </c>
      <c r="N119" s="513"/>
      <c r="O119" s="505">
        <f t="shared" si="13"/>
        <v>0</v>
      </c>
      <c r="P119" s="505">
        <f t="shared" si="14"/>
        <v>0</v>
      </c>
      <c r="Q119" s="244"/>
      <c r="R119" s="244"/>
      <c r="S119" s="244"/>
      <c r="T119" s="244"/>
      <c r="U119" s="244"/>
    </row>
    <row r="120" spans="2:21" ht="12.5">
      <c r="B120" s="145" t="str">
        <f t="shared" si="15"/>
        <v/>
      </c>
      <c r="C120" s="496">
        <f>IF(D94="","-",+C119+1)</f>
        <v>2034</v>
      </c>
      <c r="D120" s="350">
        <f>IF(F119+SUM(E$100:E119)=D$93,F119,D$93-SUM(E$100:E119))</f>
        <v>9159603.9158496801</v>
      </c>
      <c r="E120" s="630">
        <f t="shared" si="17"/>
        <v>613411.66666666663</v>
      </c>
      <c r="F120" s="511">
        <f t="shared" si="18"/>
        <v>8546192.249183014</v>
      </c>
      <c r="G120" s="511">
        <f t="shared" si="19"/>
        <v>8852898.0825163461</v>
      </c>
      <c r="H120" s="631">
        <f t="shared" si="20"/>
        <v>1569606.3357591871</v>
      </c>
      <c r="I120" s="632">
        <f t="shared" si="21"/>
        <v>1569606.3357591871</v>
      </c>
      <c r="J120" s="505">
        <f t="shared" si="16"/>
        <v>0</v>
      </c>
      <c r="K120" s="505"/>
      <c r="L120" s="513"/>
      <c r="M120" s="505">
        <f t="shared" si="12"/>
        <v>0</v>
      </c>
      <c r="N120" s="513"/>
      <c r="O120" s="505">
        <f t="shared" si="13"/>
        <v>0</v>
      </c>
      <c r="P120" s="505">
        <f t="shared" si="14"/>
        <v>0</v>
      </c>
      <c r="Q120" s="244"/>
      <c r="R120" s="244"/>
      <c r="S120" s="244"/>
      <c r="T120" s="244"/>
      <c r="U120" s="244"/>
    </row>
    <row r="121" spans="2:21" ht="12.5">
      <c r="B121" s="145" t="str">
        <f t="shared" si="15"/>
        <v/>
      </c>
      <c r="C121" s="496">
        <f>IF(D94="","-",+C120+1)</f>
        <v>2035</v>
      </c>
      <c r="D121" s="350">
        <f>IF(F120+SUM(E$100:E120)=D$93,F120,D$93-SUM(E$100:E120))</f>
        <v>8546192.249183014</v>
      </c>
      <c r="E121" s="630">
        <f t="shared" si="17"/>
        <v>613411.66666666663</v>
      </c>
      <c r="F121" s="511">
        <f t="shared" si="18"/>
        <v>7932780.5825163471</v>
      </c>
      <c r="G121" s="511">
        <f t="shared" si="19"/>
        <v>8239486.4158496801</v>
      </c>
      <c r="H121" s="631">
        <f t="shared" si="20"/>
        <v>1503352.2164686706</v>
      </c>
      <c r="I121" s="632">
        <f t="shared" si="21"/>
        <v>1503352.2164686706</v>
      </c>
      <c r="J121" s="505">
        <f t="shared" si="16"/>
        <v>0</v>
      </c>
      <c r="K121" s="505"/>
      <c r="L121" s="513"/>
      <c r="M121" s="505">
        <f t="shared" si="12"/>
        <v>0</v>
      </c>
      <c r="N121" s="513"/>
      <c r="O121" s="505">
        <f t="shared" si="13"/>
        <v>0</v>
      </c>
      <c r="P121" s="505">
        <f t="shared" si="14"/>
        <v>0</v>
      </c>
      <c r="Q121" s="244"/>
      <c r="R121" s="244"/>
      <c r="S121" s="244"/>
      <c r="T121" s="244"/>
      <c r="U121" s="244"/>
    </row>
    <row r="122" spans="2:21" ht="12.5">
      <c r="B122" s="145" t="str">
        <f t="shared" si="15"/>
        <v/>
      </c>
      <c r="C122" s="496">
        <f>IF(D94="","-",+C121+1)</f>
        <v>2036</v>
      </c>
      <c r="D122" s="350">
        <f>IF(F121+SUM(E$100:E121)=D$93,F121,D$93-SUM(E$100:E121))</f>
        <v>7932780.5825163471</v>
      </c>
      <c r="E122" s="630">
        <f t="shared" si="17"/>
        <v>613411.66666666663</v>
      </c>
      <c r="F122" s="511">
        <f t="shared" si="18"/>
        <v>7319368.9158496801</v>
      </c>
      <c r="G122" s="511">
        <f t="shared" si="19"/>
        <v>7626074.749183014</v>
      </c>
      <c r="H122" s="631">
        <f t="shared" si="20"/>
        <v>1437098.0971781539</v>
      </c>
      <c r="I122" s="632">
        <f t="shared" si="21"/>
        <v>1437098.0971781539</v>
      </c>
      <c r="J122" s="505">
        <f t="shared" si="16"/>
        <v>0</v>
      </c>
      <c r="K122" s="505"/>
      <c r="L122" s="513"/>
      <c r="M122" s="505">
        <f t="shared" si="12"/>
        <v>0</v>
      </c>
      <c r="N122" s="513"/>
      <c r="O122" s="505">
        <f t="shared" si="13"/>
        <v>0</v>
      </c>
      <c r="P122" s="505">
        <f t="shared" si="14"/>
        <v>0</v>
      </c>
      <c r="Q122" s="244"/>
      <c r="R122" s="244"/>
      <c r="S122" s="244"/>
      <c r="T122" s="244"/>
      <c r="U122" s="244"/>
    </row>
    <row r="123" spans="2:21" ht="12.5">
      <c r="B123" s="145" t="str">
        <f t="shared" si="15"/>
        <v/>
      </c>
      <c r="C123" s="496">
        <f>IF(D94="","-",+C122+1)</f>
        <v>2037</v>
      </c>
      <c r="D123" s="350">
        <f>IF(F122+SUM(E$100:E122)=D$93,F122,D$93-SUM(E$100:E122))</f>
        <v>7319368.9158496801</v>
      </c>
      <c r="E123" s="630">
        <f t="shared" si="17"/>
        <v>613411.66666666663</v>
      </c>
      <c r="F123" s="511">
        <f t="shared" si="18"/>
        <v>6705957.2491830131</v>
      </c>
      <c r="G123" s="511">
        <f t="shared" si="19"/>
        <v>7012663.0825163461</v>
      </c>
      <c r="H123" s="631">
        <f t="shared" si="20"/>
        <v>1370843.977887637</v>
      </c>
      <c r="I123" s="632">
        <f t="shared" si="21"/>
        <v>1370843.977887637</v>
      </c>
      <c r="J123" s="505">
        <f t="shared" si="16"/>
        <v>0</v>
      </c>
      <c r="K123" s="505"/>
      <c r="L123" s="513"/>
      <c r="M123" s="505">
        <f t="shared" si="12"/>
        <v>0</v>
      </c>
      <c r="N123" s="513"/>
      <c r="O123" s="505">
        <f t="shared" si="13"/>
        <v>0</v>
      </c>
      <c r="P123" s="505">
        <f t="shared" si="14"/>
        <v>0</v>
      </c>
      <c r="Q123" s="244"/>
      <c r="R123" s="244"/>
      <c r="S123" s="244"/>
      <c r="T123" s="244"/>
      <c r="U123" s="244"/>
    </row>
    <row r="124" spans="2:21" ht="12.5">
      <c r="B124" s="145" t="str">
        <f t="shared" si="15"/>
        <v/>
      </c>
      <c r="C124" s="496">
        <f>IF(D94="","-",+C123+1)</f>
        <v>2038</v>
      </c>
      <c r="D124" s="350">
        <f>IF(F123+SUM(E$100:E123)=D$93,F123,D$93-SUM(E$100:E123))</f>
        <v>6705957.2491830131</v>
      </c>
      <c r="E124" s="630">
        <f t="shared" si="17"/>
        <v>613411.66666666663</v>
      </c>
      <c r="F124" s="511">
        <f t="shared" si="18"/>
        <v>6092545.5825163461</v>
      </c>
      <c r="G124" s="511">
        <f t="shared" si="19"/>
        <v>6399251.4158496801</v>
      </c>
      <c r="H124" s="631">
        <f t="shared" si="20"/>
        <v>1304589.8585971203</v>
      </c>
      <c r="I124" s="632">
        <f t="shared" si="21"/>
        <v>1304589.8585971203</v>
      </c>
      <c r="J124" s="505">
        <f t="shared" si="16"/>
        <v>0</v>
      </c>
      <c r="K124" s="505"/>
      <c r="L124" s="513"/>
      <c r="M124" s="505">
        <f t="shared" si="12"/>
        <v>0</v>
      </c>
      <c r="N124" s="513"/>
      <c r="O124" s="505">
        <f t="shared" si="13"/>
        <v>0</v>
      </c>
      <c r="P124" s="505">
        <f t="shared" si="14"/>
        <v>0</v>
      </c>
      <c r="Q124" s="244"/>
      <c r="R124" s="244"/>
      <c r="S124" s="244"/>
      <c r="T124" s="244"/>
      <c r="U124" s="244"/>
    </row>
    <row r="125" spans="2:21" ht="12.5">
      <c r="B125" s="145" t="str">
        <f t="shared" si="15"/>
        <v/>
      </c>
      <c r="C125" s="496">
        <f>IF(D94="","-",+C124+1)</f>
        <v>2039</v>
      </c>
      <c r="D125" s="350">
        <f>IF(F124+SUM(E$100:E124)=D$93,F124,D$93-SUM(E$100:E124))</f>
        <v>6092545.5825163461</v>
      </c>
      <c r="E125" s="630">
        <f t="shared" si="17"/>
        <v>613411.66666666663</v>
      </c>
      <c r="F125" s="511">
        <f t="shared" si="18"/>
        <v>5479133.9158496791</v>
      </c>
      <c r="G125" s="511">
        <f t="shared" si="19"/>
        <v>5785839.7491830122</v>
      </c>
      <c r="H125" s="631">
        <f t="shared" si="20"/>
        <v>1238335.7393066036</v>
      </c>
      <c r="I125" s="632">
        <f t="shared" si="21"/>
        <v>1238335.7393066036</v>
      </c>
      <c r="J125" s="505">
        <f t="shared" si="16"/>
        <v>0</v>
      </c>
      <c r="K125" s="505"/>
      <c r="L125" s="513"/>
      <c r="M125" s="505">
        <f t="shared" si="12"/>
        <v>0</v>
      </c>
      <c r="N125" s="513"/>
      <c r="O125" s="505">
        <f t="shared" si="13"/>
        <v>0</v>
      </c>
      <c r="P125" s="505">
        <f t="shared" si="14"/>
        <v>0</v>
      </c>
      <c r="Q125" s="244"/>
      <c r="R125" s="244"/>
      <c r="S125" s="244"/>
      <c r="T125" s="244"/>
      <c r="U125" s="244"/>
    </row>
    <row r="126" spans="2:21" ht="12.5">
      <c r="B126" s="145" t="str">
        <f t="shared" si="15"/>
        <v/>
      </c>
      <c r="C126" s="496">
        <f>IF(D94="","-",+C125+1)</f>
        <v>2040</v>
      </c>
      <c r="D126" s="350">
        <f>IF(F125+SUM(E$100:E125)=D$93,F125,D$93-SUM(E$100:E125))</f>
        <v>5479133.9158496791</v>
      </c>
      <c r="E126" s="630">
        <f t="shared" si="17"/>
        <v>613411.66666666663</v>
      </c>
      <c r="F126" s="511">
        <f t="shared" si="18"/>
        <v>4865722.2491830122</v>
      </c>
      <c r="G126" s="511">
        <f t="shared" si="19"/>
        <v>5172428.0825163461</v>
      </c>
      <c r="H126" s="631">
        <f t="shared" si="20"/>
        <v>1172081.6200160868</v>
      </c>
      <c r="I126" s="632">
        <f t="shared" si="21"/>
        <v>1172081.6200160868</v>
      </c>
      <c r="J126" s="505">
        <f t="shared" si="16"/>
        <v>0</v>
      </c>
      <c r="K126" s="505"/>
      <c r="L126" s="513"/>
      <c r="M126" s="505">
        <f t="shared" si="12"/>
        <v>0</v>
      </c>
      <c r="N126" s="513"/>
      <c r="O126" s="505">
        <f t="shared" si="13"/>
        <v>0</v>
      </c>
      <c r="P126" s="505">
        <f t="shared" si="14"/>
        <v>0</v>
      </c>
      <c r="Q126" s="244"/>
      <c r="R126" s="244"/>
      <c r="S126" s="244"/>
      <c r="T126" s="244"/>
      <c r="U126" s="244"/>
    </row>
    <row r="127" spans="2:21" ht="12.5">
      <c r="B127" s="145" t="str">
        <f t="shared" si="15"/>
        <v/>
      </c>
      <c r="C127" s="496">
        <f>IF(D94="","-",+C126+1)</f>
        <v>2041</v>
      </c>
      <c r="D127" s="350">
        <f>IF(F126+SUM(E$100:E126)=D$93,F126,D$93-SUM(E$100:E126))</f>
        <v>4865722.2491830122</v>
      </c>
      <c r="E127" s="630">
        <f t="shared" si="17"/>
        <v>613411.66666666663</v>
      </c>
      <c r="F127" s="511">
        <f t="shared" si="18"/>
        <v>4252310.5825163452</v>
      </c>
      <c r="G127" s="511">
        <f t="shared" si="19"/>
        <v>4559016.4158496782</v>
      </c>
      <c r="H127" s="631">
        <f t="shared" si="20"/>
        <v>1105827.5007255699</v>
      </c>
      <c r="I127" s="632">
        <f t="shared" si="21"/>
        <v>1105827.5007255699</v>
      </c>
      <c r="J127" s="505">
        <f t="shared" si="16"/>
        <v>0</v>
      </c>
      <c r="K127" s="505"/>
      <c r="L127" s="513"/>
      <c r="M127" s="505">
        <f t="shared" si="12"/>
        <v>0</v>
      </c>
      <c r="N127" s="513"/>
      <c r="O127" s="505">
        <f t="shared" si="13"/>
        <v>0</v>
      </c>
      <c r="P127" s="505">
        <f t="shared" si="14"/>
        <v>0</v>
      </c>
      <c r="Q127" s="244"/>
      <c r="R127" s="244"/>
      <c r="S127" s="244"/>
      <c r="T127" s="244"/>
      <c r="U127" s="244"/>
    </row>
    <row r="128" spans="2:21" ht="12.5">
      <c r="B128" s="145" t="str">
        <f t="shared" si="15"/>
        <v/>
      </c>
      <c r="C128" s="496">
        <f>IF(D94="","-",+C127+1)</f>
        <v>2042</v>
      </c>
      <c r="D128" s="350">
        <f>IF(F127+SUM(E$100:E127)=D$93,F127,D$93-SUM(E$100:E127))</f>
        <v>4252310.5825163452</v>
      </c>
      <c r="E128" s="630">
        <f t="shared" si="17"/>
        <v>613411.66666666663</v>
      </c>
      <c r="F128" s="511">
        <f t="shared" si="18"/>
        <v>3638898.9158496787</v>
      </c>
      <c r="G128" s="511">
        <f t="shared" si="19"/>
        <v>3945604.7491830122</v>
      </c>
      <c r="H128" s="631">
        <f t="shared" si="20"/>
        <v>1039573.3814350533</v>
      </c>
      <c r="I128" s="632">
        <f t="shared" si="21"/>
        <v>1039573.3814350533</v>
      </c>
      <c r="J128" s="505">
        <f t="shared" si="16"/>
        <v>0</v>
      </c>
      <c r="K128" s="505"/>
      <c r="L128" s="513"/>
      <c r="M128" s="505">
        <f t="shared" si="12"/>
        <v>0</v>
      </c>
      <c r="N128" s="513"/>
      <c r="O128" s="505">
        <f t="shared" si="13"/>
        <v>0</v>
      </c>
      <c r="P128" s="505">
        <f t="shared" si="14"/>
        <v>0</v>
      </c>
      <c r="Q128" s="244"/>
      <c r="R128" s="244"/>
      <c r="S128" s="244"/>
      <c r="T128" s="244"/>
      <c r="U128" s="244"/>
    </row>
    <row r="129" spans="2:21" ht="12.5">
      <c r="B129" s="145" t="str">
        <f t="shared" si="15"/>
        <v/>
      </c>
      <c r="C129" s="496">
        <f>IF(D94="","-",+C128+1)</f>
        <v>2043</v>
      </c>
      <c r="D129" s="350">
        <f>IF(F128+SUM(E$100:E128)=D$93,F128,D$93-SUM(E$100:E128))</f>
        <v>3638898.9158496787</v>
      </c>
      <c r="E129" s="630">
        <f t="shared" si="17"/>
        <v>613411.66666666663</v>
      </c>
      <c r="F129" s="511">
        <f t="shared" si="18"/>
        <v>3025487.2491830122</v>
      </c>
      <c r="G129" s="511">
        <f t="shared" si="19"/>
        <v>3332193.0825163452</v>
      </c>
      <c r="H129" s="631">
        <f t="shared" si="20"/>
        <v>973319.26214453648</v>
      </c>
      <c r="I129" s="632">
        <f t="shared" si="21"/>
        <v>973319.26214453648</v>
      </c>
      <c r="J129" s="505">
        <f t="shared" si="16"/>
        <v>0</v>
      </c>
      <c r="K129" s="505"/>
      <c r="L129" s="513"/>
      <c r="M129" s="505">
        <f t="shared" si="12"/>
        <v>0</v>
      </c>
      <c r="N129" s="513"/>
      <c r="O129" s="505">
        <f t="shared" si="13"/>
        <v>0</v>
      </c>
      <c r="P129" s="505">
        <f t="shared" si="14"/>
        <v>0</v>
      </c>
      <c r="Q129" s="244"/>
      <c r="R129" s="244"/>
      <c r="S129" s="244"/>
      <c r="T129" s="244"/>
      <c r="U129" s="244"/>
    </row>
    <row r="130" spans="2:21" ht="12.5">
      <c r="B130" s="145" t="str">
        <f t="shared" si="15"/>
        <v/>
      </c>
      <c r="C130" s="496">
        <f>IF(D94="","-",+C129+1)</f>
        <v>2044</v>
      </c>
      <c r="D130" s="350">
        <f>IF(F129+SUM(E$100:E129)=D$93,F129,D$93-SUM(E$100:E129))</f>
        <v>3025487.2491830122</v>
      </c>
      <c r="E130" s="630">
        <f t="shared" si="17"/>
        <v>613411.66666666663</v>
      </c>
      <c r="F130" s="511">
        <f t="shared" si="18"/>
        <v>2412075.5825163457</v>
      </c>
      <c r="G130" s="511">
        <f t="shared" si="19"/>
        <v>2718781.4158496791</v>
      </c>
      <c r="H130" s="631">
        <f t="shared" si="20"/>
        <v>907065.14285401977</v>
      </c>
      <c r="I130" s="632">
        <f t="shared" si="21"/>
        <v>907065.14285401977</v>
      </c>
      <c r="J130" s="505">
        <f t="shared" si="16"/>
        <v>0</v>
      </c>
      <c r="K130" s="505"/>
      <c r="L130" s="513"/>
      <c r="M130" s="505">
        <f t="shared" si="12"/>
        <v>0</v>
      </c>
      <c r="N130" s="513"/>
      <c r="O130" s="505">
        <f t="shared" si="13"/>
        <v>0</v>
      </c>
      <c r="P130" s="505">
        <f t="shared" si="14"/>
        <v>0</v>
      </c>
      <c r="Q130" s="244"/>
      <c r="R130" s="244"/>
      <c r="S130" s="244"/>
      <c r="T130" s="244"/>
      <c r="U130" s="244"/>
    </row>
    <row r="131" spans="2:21" ht="12.5">
      <c r="B131" s="145" t="str">
        <f t="shared" si="15"/>
        <v/>
      </c>
      <c r="C131" s="496">
        <f>IF(D94="","-",+C130+1)</f>
        <v>2045</v>
      </c>
      <c r="D131" s="350">
        <f>IF(F130+SUM(E$100:E130)=D$93,F130,D$93-SUM(E$100:E130))</f>
        <v>2412075.5825163457</v>
      </c>
      <c r="E131" s="630">
        <f t="shared" si="17"/>
        <v>613411.66666666663</v>
      </c>
      <c r="F131" s="511">
        <f t="shared" si="18"/>
        <v>1798663.9158496791</v>
      </c>
      <c r="G131" s="511">
        <f t="shared" si="19"/>
        <v>2105369.7491830122</v>
      </c>
      <c r="H131" s="631">
        <f t="shared" si="20"/>
        <v>840811.02356350305</v>
      </c>
      <c r="I131" s="632">
        <f t="shared" si="21"/>
        <v>840811.02356350305</v>
      </c>
      <c r="J131" s="505">
        <f t="shared" si="16"/>
        <v>0</v>
      </c>
      <c r="K131" s="505"/>
      <c r="L131" s="513"/>
      <c r="M131" s="505">
        <f t="shared" si="12"/>
        <v>0</v>
      </c>
      <c r="N131" s="513"/>
      <c r="O131" s="505">
        <f t="shared" si="13"/>
        <v>0</v>
      </c>
      <c r="P131" s="505">
        <f t="shared" si="14"/>
        <v>0</v>
      </c>
      <c r="Q131" s="244"/>
      <c r="R131" s="244"/>
      <c r="S131" s="244"/>
      <c r="T131" s="244"/>
      <c r="U131" s="244"/>
    </row>
    <row r="132" spans="2:21" ht="12.5">
      <c r="B132" s="145" t="str">
        <f t="shared" si="15"/>
        <v/>
      </c>
      <c r="C132" s="496">
        <f>IF(D94="","-",+C131+1)</f>
        <v>2046</v>
      </c>
      <c r="D132" s="350">
        <f>IF(F131+SUM(E$100:E131)=D$93,F131,D$93-SUM(E$100:E131))</f>
        <v>1798663.9158496791</v>
      </c>
      <c r="E132" s="630">
        <f t="shared" si="17"/>
        <v>613411.66666666663</v>
      </c>
      <c r="F132" s="511">
        <f t="shared" si="18"/>
        <v>1185252.2491830126</v>
      </c>
      <c r="G132" s="511">
        <f t="shared" si="19"/>
        <v>1491958.0825163459</v>
      </c>
      <c r="H132" s="631">
        <f t="shared" si="20"/>
        <v>774556.90427298634</v>
      </c>
      <c r="I132" s="632">
        <f t="shared" si="21"/>
        <v>774556.90427298634</v>
      </c>
      <c r="J132" s="505">
        <f t="shared" si="16"/>
        <v>0</v>
      </c>
      <c r="K132" s="505"/>
      <c r="L132" s="513"/>
      <c r="M132" s="505">
        <f t="shared" ref="M132:M155" si="22">IF(L542&lt;&gt;0,+H542-L542,0)</f>
        <v>0</v>
      </c>
      <c r="N132" s="513"/>
      <c r="O132" s="505">
        <f t="shared" ref="O132:O155" si="23">IF(N542&lt;&gt;0,+I542-N542,0)</f>
        <v>0</v>
      </c>
      <c r="P132" s="505">
        <f t="shared" ref="P132:P155" si="24">+O542-M542</f>
        <v>0</v>
      </c>
      <c r="Q132" s="244"/>
      <c r="R132" s="244"/>
      <c r="S132" s="244"/>
      <c r="T132" s="244"/>
      <c r="U132" s="244"/>
    </row>
    <row r="133" spans="2:21" ht="12.5">
      <c r="B133" s="145" t="str">
        <f t="shared" si="15"/>
        <v/>
      </c>
      <c r="C133" s="496">
        <f>IF(D94="","-",+C132+1)</f>
        <v>2047</v>
      </c>
      <c r="D133" s="350">
        <f>IF(F132+SUM(E$100:E132)=D$93,F132,D$93-SUM(E$100:E132))</f>
        <v>1185252.2491830126</v>
      </c>
      <c r="E133" s="630">
        <f t="shared" si="17"/>
        <v>613411.66666666663</v>
      </c>
      <c r="F133" s="511">
        <f t="shared" si="18"/>
        <v>571840.58251634601</v>
      </c>
      <c r="G133" s="511">
        <f t="shared" si="19"/>
        <v>878546.41584967938</v>
      </c>
      <c r="H133" s="631">
        <f t="shared" si="20"/>
        <v>708302.78498246963</v>
      </c>
      <c r="I133" s="632">
        <f t="shared" si="21"/>
        <v>708302.78498246963</v>
      </c>
      <c r="J133" s="505">
        <f t="shared" si="16"/>
        <v>0</v>
      </c>
      <c r="K133" s="505"/>
      <c r="L133" s="513"/>
      <c r="M133" s="505">
        <f t="shared" si="22"/>
        <v>0</v>
      </c>
      <c r="N133" s="513"/>
      <c r="O133" s="505">
        <f t="shared" si="23"/>
        <v>0</v>
      </c>
      <c r="P133" s="505">
        <f t="shared" si="24"/>
        <v>0</v>
      </c>
      <c r="Q133" s="244"/>
      <c r="R133" s="244"/>
      <c r="S133" s="244"/>
      <c r="T133" s="244"/>
      <c r="U133" s="244"/>
    </row>
    <row r="134" spans="2:21" ht="12.5">
      <c r="B134" s="145" t="str">
        <f t="shared" si="15"/>
        <v/>
      </c>
      <c r="C134" s="496">
        <f>IF(D94="","-",+C133+1)</f>
        <v>2048</v>
      </c>
      <c r="D134" s="350">
        <f>IF(F133+SUM(E$100:E133)=D$93,F133,D$93-SUM(E$100:E133))</f>
        <v>571840.58251634601</v>
      </c>
      <c r="E134" s="630">
        <f t="shared" si="17"/>
        <v>571840.58251634601</v>
      </c>
      <c r="F134" s="511">
        <f t="shared" si="18"/>
        <v>0</v>
      </c>
      <c r="G134" s="511">
        <f t="shared" si="19"/>
        <v>285920.29125817301</v>
      </c>
      <c r="H134" s="631">
        <f t="shared" si="20"/>
        <v>602722.61185161828</v>
      </c>
      <c r="I134" s="632">
        <f t="shared" si="21"/>
        <v>602722.61185161828</v>
      </c>
      <c r="J134" s="505">
        <f t="shared" si="16"/>
        <v>0</v>
      </c>
      <c r="K134" s="505"/>
      <c r="L134" s="513"/>
      <c r="M134" s="505">
        <f t="shared" si="22"/>
        <v>0</v>
      </c>
      <c r="N134" s="513"/>
      <c r="O134" s="505">
        <f t="shared" si="23"/>
        <v>0</v>
      </c>
      <c r="P134" s="505">
        <f t="shared" si="24"/>
        <v>0</v>
      </c>
      <c r="Q134" s="244"/>
      <c r="R134" s="244"/>
      <c r="S134" s="244"/>
      <c r="T134" s="244"/>
      <c r="U134" s="244"/>
    </row>
    <row r="135" spans="2:21" ht="12.5">
      <c r="B135" s="145" t="str">
        <f t="shared" si="15"/>
        <v/>
      </c>
      <c r="C135" s="496">
        <f>IF(D94="","-",+C134+1)</f>
        <v>2049</v>
      </c>
      <c r="D135" s="350">
        <f>IF(F134+SUM(E$100:E134)=D$93,F134,D$93-SUM(E$100:E134))</f>
        <v>0</v>
      </c>
      <c r="E135" s="630">
        <f t="shared" si="17"/>
        <v>0</v>
      </c>
      <c r="F135" s="511">
        <f t="shared" si="18"/>
        <v>0</v>
      </c>
      <c r="G135" s="511">
        <f t="shared" si="19"/>
        <v>0</v>
      </c>
      <c r="H135" s="631">
        <f t="shared" si="20"/>
        <v>0</v>
      </c>
      <c r="I135" s="632">
        <f t="shared" si="21"/>
        <v>0</v>
      </c>
      <c r="J135" s="505">
        <f t="shared" si="16"/>
        <v>0</v>
      </c>
      <c r="K135" s="505"/>
      <c r="L135" s="513"/>
      <c r="M135" s="505">
        <f t="shared" si="22"/>
        <v>0</v>
      </c>
      <c r="N135" s="513"/>
      <c r="O135" s="505">
        <f t="shared" si="23"/>
        <v>0</v>
      </c>
      <c r="P135" s="505">
        <f t="shared" si="24"/>
        <v>0</v>
      </c>
      <c r="Q135" s="244"/>
      <c r="R135" s="244"/>
      <c r="S135" s="244"/>
      <c r="T135" s="244"/>
      <c r="U135" s="244"/>
    </row>
    <row r="136" spans="2:21" ht="12.5">
      <c r="B136" s="145" t="str">
        <f t="shared" si="15"/>
        <v/>
      </c>
      <c r="C136" s="496">
        <f>IF(D94="","-",+C135+1)</f>
        <v>2050</v>
      </c>
      <c r="D136" s="350">
        <f>IF(F135+SUM(E$100:E135)=D$93,F135,D$93-SUM(E$100:E135))</f>
        <v>0</v>
      </c>
      <c r="E136" s="630">
        <f t="shared" si="17"/>
        <v>0</v>
      </c>
      <c r="F136" s="511">
        <f t="shared" si="18"/>
        <v>0</v>
      </c>
      <c r="G136" s="511">
        <f t="shared" si="19"/>
        <v>0</v>
      </c>
      <c r="H136" s="631">
        <f t="shared" si="20"/>
        <v>0</v>
      </c>
      <c r="I136" s="632">
        <f t="shared" si="21"/>
        <v>0</v>
      </c>
      <c r="J136" s="505">
        <f t="shared" si="16"/>
        <v>0</v>
      </c>
      <c r="K136" s="505"/>
      <c r="L136" s="513"/>
      <c r="M136" s="505">
        <f t="shared" si="22"/>
        <v>0</v>
      </c>
      <c r="N136" s="513"/>
      <c r="O136" s="505">
        <f t="shared" si="23"/>
        <v>0</v>
      </c>
      <c r="P136" s="505">
        <f t="shared" si="24"/>
        <v>0</v>
      </c>
      <c r="Q136" s="244"/>
      <c r="R136" s="244"/>
      <c r="S136" s="244"/>
      <c r="T136" s="244"/>
      <c r="U136" s="244"/>
    </row>
    <row r="137" spans="2:21" ht="12.5">
      <c r="B137" s="145" t="str">
        <f t="shared" si="15"/>
        <v/>
      </c>
      <c r="C137" s="496">
        <f>IF(D94="","-",+C136+1)</f>
        <v>2051</v>
      </c>
      <c r="D137" s="350">
        <f>IF(F136+SUM(E$100:E136)=D$93,F136,D$93-SUM(E$100:E136))</f>
        <v>0</v>
      </c>
      <c r="E137" s="630">
        <f t="shared" si="17"/>
        <v>0</v>
      </c>
      <c r="F137" s="511">
        <f t="shared" si="18"/>
        <v>0</v>
      </c>
      <c r="G137" s="511">
        <f t="shared" si="19"/>
        <v>0</v>
      </c>
      <c r="H137" s="631">
        <f t="shared" si="20"/>
        <v>0</v>
      </c>
      <c r="I137" s="632">
        <f t="shared" si="21"/>
        <v>0</v>
      </c>
      <c r="J137" s="505">
        <f t="shared" si="16"/>
        <v>0</v>
      </c>
      <c r="K137" s="505"/>
      <c r="L137" s="513"/>
      <c r="M137" s="505">
        <f t="shared" si="22"/>
        <v>0</v>
      </c>
      <c r="N137" s="513"/>
      <c r="O137" s="505">
        <f t="shared" si="23"/>
        <v>0</v>
      </c>
      <c r="P137" s="505">
        <f t="shared" si="24"/>
        <v>0</v>
      </c>
      <c r="Q137" s="244"/>
      <c r="R137" s="244"/>
      <c r="S137" s="244"/>
      <c r="T137" s="244"/>
      <c r="U137" s="244"/>
    </row>
    <row r="138" spans="2:21" ht="12.5">
      <c r="B138" s="145" t="str">
        <f t="shared" si="15"/>
        <v/>
      </c>
      <c r="C138" s="496">
        <f>IF(D94="","-",+C137+1)</f>
        <v>2052</v>
      </c>
      <c r="D138" s="350">
        <f>IF(F137+SUM(E$100:E137)=D$93,F137,D$93-SUM(E$100:E137))</f>
        <v>0</v>
      </c>
      <c r="E138" s="630">
        <f t="shared" si="17"/>
        <v>0</v>
      </c>
      <c r="F138" s="511">
        <f t="shared" si="18"/>
        <v>0</v>
      </c>
      <c r="G138" s="511">
        <f t="shared" si="19"/>
        <v>0</v>
      </c>
      <c r="H138" s="631">
        <f t="shared" si="20"/>
        <v>0</v>
      </c>
      <c r="I138" s="632">
        <f t="shared" si="21"/>
        <v>0</v>
      </c>
      <c r="J138" s="505">
        <f t="shared" si="16"/>
        <v>0</v>
      </c>
      <c r="K138" s="505"/>
      <c r="L138" s="513"/>
      <c r="M138" s="505">
        <f t="shared" si="22"/>
        <v>0</v>
      </c>
      <c r="N138" s="513"/>
      <c r="O138" s="505">
        <f t="shared" si="23"/>
        <v>0</v>
      </c>
      <c r="P138" s="505">
        <f t="shared" si="24"/>
        <v>0</v>
      </c>
      <c r="Q138" s="244"/>
      <c r="R138" s="244"/>
      <c r="S138" s="244"/>
      <c r="T138" s="244"/>
      <c r="U138" s="244"/>
    </row>
    <row r="139" spans="2:21" ht="12.5">
      <c r="B139" s="145" t="str">
        <f t="shared" si="15"/>
        <v/>
      </c>
      <c r="C139" s="496">
        <f>IF(D94="","-",+C138+1)</f>
        <v>2053</v>
      </c>
      <c r="D139" s="350">
        <f>IF(F138+SUM(E$100:E138)=D$93,F138,D$93-SUM(E$100:E138))</f>
        <v>0</v>
      </c>
      <c r="E139" s="630">
        <f t="shared" si="17"/>
        <v>0</v>
      </c>
      <c r="F139" s="511">
        <f t="shared" si="18"/>
        <v>0</v>
      </c>
      <c r="G139" s="511">
        <f t="shared" si="19"/>
        <v>0</v>
      </c>
      <c r="H139" s="631">
        <f t="shared" si="20"/>
        <v>0</v>
      </c>
      <c r="I139" s="632">
        <f t="shared" si="21"/>
        <v>0</v>
      </c>
      <c r="J139" s="505">
        <f t="shared" si="16"/>
        <v>0</v>
      </c>
      <c r="K139" s="505"/>
      <c r="L139" s="513"/>
      <c r="M139" s="505">
        <f t="shared" si="22"/>
        <v>0</v>
      </c>
      <c r="N139" s="513"/>
      <c r="O139" s="505">
        <f t="shared" si="23"/>
        <v>0</v>
      </c>
      <c r="P139" s="505">
        <f t="shared" si="24"/>
        <v>0</v>
      </c>
      <c r="Q139" s="244"/>
      <c r="R139" s="244"/>
      <c r="S139" s="244"/>
      <c r="T139" s="244"/>
      <c r="U139" s="244"/>
    </row>
    <row r="140" spans="2:21" ht="12.5">
      <c r="B140" s="145" t="str">
        <f t="shared" si="15"/>
        <v/>
      </c>
      <c r="C140" s="496">
        <f>IF(D94="","-",+C139+1)</f>
        <v>2054</v>
      </c>
      <c r="D140" s="350">
        <f>IF(F139+SUM(E$100:E139)=D$93,F139,D$93-SUM(E$100:E139))</f>
        <v>0</v>
      </c>
      <c r="E140" s="630">
        <f t="shared" si="17"/>
        <v>0</v>
      </c>
      <c r="F140" s="511">
        <f t="shared" si="18"/>
        <v>0</v>
      </c>
      <c r="G140" s="511">
        <f t="shared" si="19"/>
        <v>0</v>
      </c>
      <c r="H140" s="631">
        <f t="shared" si="20"/>
        <v>0</v>
      </c>
      <c r="I140" s="632">
        <f t="shared" si="21"/>
        <v>0</v>
      </c>
      <c r="J140" s="505">
        <f t="shared" si="16"/>
        <v>0</v>
      </c>
      <c r="K140" s="505"/>
      <c r="L140" s="513"/>
      <c r="M140" s="505">
        <f t="shared" si="22"/>
        <v>0</v>
      </c>
      <c r="N140" s="513"/>
      <c r="O140" s="505">
        <f t="shared" si="23"/>
        <v>0</v>
      </c>
      <c r="P140" s="505">
        <f t="shared" si="24"/>
        <v>0</v>
      </c>
      <c r="Q140" s="244"/>
      <c r="R140" s="244"/>
      <c r="S140" s="244"/>
      <c r="T140" s="244"/>
      <c r="U140" s="244"/>
    </row>
    <row r="141" spans="2:21" ht="12.5">
      <c r="B141" s="145" t="str">
        <f t="shared" si="15"/>
        <v/>
      </c>
      <c r="C141" s="496">
        <f>IF(D94="","-",+C140+1)</f>
        <v>2055</v>
      </c>
      <c r="D141" s="350">
        <f>IF(F140+SUM(E$100:E140)=D$93,F140,D$93-SUM(E$100:E140))</f>
        <v>0</v>
      </c>
      <c r="E141" s="630">
        <f t="shared" si="17"/>
        <v>0</v>
      </c>
      <c r="F141" s="511">
        <f t="shared" si="18"/>
        <v>0</v>
      </c>
      <c r="G141" s="511">
        <f t="shared" si="19"/>
        <v>0</v>
      </c>
      <c r="H141" s="631">
        <f t="shared" si="20"/>
        <v>0</v>
      </c>
      <c r="I141" s="632">
        <f t="shared" si="21"/>
        <v>0</v>
      </c>
      <c r="J141" s="505">
        <f t="shared" si="16"/>
        <v>0</v>
      </c>
      <c r="K141" s="505"/>
      <c r="L141" s="513"/>
      <c r="M141" s="505">
        <f t="shared" si="22"/>
        <v>0</v>
      </c>
      <c r="N141" s="513"/>
      <c r="O141" s="505">
        <f t="shared" si="23"/>
        <v>0</v>
      </c>
      <c r="P141" s="505">
        <f t="shared" si="24"/>
        <v>0</v>
      </c>
      <c r="Q141" s="244"/>
      <c r="R141" s="244"/>
      <c r="S141" s="244"/>
      <c r="T141" s="244"/>
      <c r="U141" s="244"/>
    </row>
    <row r="142" spans="2:21" ht="12.5">
      <c r="B142" s="145" t="str">
        <f t="shared" si="15"/>
        <v/>
      </c>
      <c r="C142" s="496">
        <f>IF(D94="","-",+C141+1)</f>
        <v>2056</v>
      </c>
      <c r="D142" s="350">
        <f>IF(F141+SUM(E$100:E141)=D$93,F141,D$93-SUM(E$100:E141))</f>
        <v>0</v>
      </c>
      <c r="E142" s="630">
        <f t="shared" si="17"/>
        <v>0</v>
      </c>
      <c r="F142" s="511">
        <f t="shared" si="18"/>
        <v>0</v>
      </c>
      <c r="G142" s="511">
        <f t="shared" si="19"/>
        <v>0</v>
      </c>
      <c r="H142" s="631">
        <f t="shared" si="20"/>
        <v>0</v>
      </c>
      <c r="I142" s="632">
        <f t="shared" si="21"/>
        <v>0</v>
      </c>
      <c r="J142" s="505">
        <f t="shared" si="16"/>
        <v>0</v>
      </c>
      <c r="K142" s="505"/>
      <c r="L142" s="513"/>
      <c r="M142" s="505">
        <f t="shared" si="22"/>
        <v>0</v>
      </c>
      <c r="N142" s="513"/>
      <c r="O142" s="505">
        <f t="shared" si="23"/>
        <v>0</v>
      </c>
      <c r="P142" s="505">
        <f t="shared" si="24"/>
        <v>0</v>
      </c>
      <c r="Q142" s="244"/>
      <c r="R142" s="244"/>
      <c r="S142" s="244"/>
      <c r="T142" s="244"/>
      <c r="U142" s="244"/>
    </row>
    <row r="143" spans="2:21" ht="12.5">
      <c r="B143" s="145" t="str">
        <f t="shared" si="15"/>
        <v/>
      </c>
      <c r="C143" s="496">
        <f>IF(D94="","-",+C142+1)</f>
        <v>2057</v>
      </c>
      <c r="D143" s="350">
        <f>IF(F142+SUM(E$100:E142)=D$93,F142,D$93-SUM(E$100:E142))</f>
        <v>0</v>
      </c>
      <c r="E143" s="630">
        <f t="shared" si="17"/>
        <v>0</v>
      </c>
      <c r="F143" s="511">
        <f t="shared" si="18"/>
        <v>0</v>
      </c>
      <c r="G143" s="511">
        <f t="shared" si="19"/>
        <v>0</v>
      </c>
      <c r="H143" s="631">
        <f t="shared" si="20"/>
        <v>0</v>
      </c>
      <c r="I143" s="632">
        <f t="shared" si="21"/>
        <v>0</v>
      </c>
      <c r="J143" s="505">
        <f t="shared" si="16"/>
        <v>0</v>
      </c>
      <c r="K143" s="505"/>
      <c r="L143" s="513"/>
      <c r="M143" s="505">
        <f t="shared" si="22"/>
        <v>0</v>
      </c>
      <c r="N143" s="513"/>
      <c r="O143" s="505">
        <f t="shared" si="23"/>
        <v>0</v>
      </c>
      <c r="P143" s="505">
        <f t="shared" si="24"/>
        <v>0</v>
      </c>
      <c r="Q143" s="244"/>
      <c r="R143" s="244"/>
      <c r="S143" s="244"/>
      <c r="T143" s="244"/>
      <c r="U143" s="244"/>
    </row>
    <row r="144" spans="2:21" ht="12.5">
      <c r="B144" s="145" t="str">
        <f t="shared" si="15"/>
        <v/>
      </c>
      <c r="C144" s="496">
        <f>IF(D94="","-",+C143+1)</f>
        <v>2058</v>
      </c>
      <c r="D144" s="350">
        <f>IF(F143+SUM(E$100:E143)=D$93,F143,D$93-SUM(E$100:E143))</f>
        <v>0</v>
      </c>
      <c r="E144" s="630">
        <f t="shared" si="17"/>
        <v>0</v>
      </c>
      <c r="F144" s="511">
        <f t="shared" si="18"/>
        <v>0</v>
      </c>
      <c r="G144" s="511">
        <f t="shared" si="19"/>
        <v>0</v>
      </c>
      <c r="H144" s="631">
        <f t="shared" si="20"/>
        <v>0</v>
      </c>
      <c r="I144" s="632">
        <f t="shared" si="21"/>
        <v>0</v>
      </c>
      <c r="J144" s="505">
        <f t="shared" si="16"/>
        <v>0</v>
      </c>
      <c r="K144" s="505"/>
      <c r="L144" s="513"/>
      <c r="M144" s="505">
        <f t="shared" si="22"/>
        <v>0</v>
      </c>
      <c r="N144" s="513"/>
      <c r="O144" s="505">
        <f t="shared" si="23"/>
        <v>0</v>
      </c>
      <c r="P144" s="505">
        <f t="shared" si="24"/>
        <v>0</v>
      </c>
      <c r="Q144" s="244"/>
      <c r="R144" s="244"/>
      <c r="S144" s="244"/>
      <c r="T144" s="244"/>
      <c r="U144" s="244"/>
    </row>
    <row r="145" spans="2:21" ht="12.5">
      <c r="B145" s="145" t="str">
        <f t="shared" si="15"/>
        <v/>
      </c>
      <c r="C145" s="496">
        <f>IF(D94="","-",+C144+1)</f>
        <v>2059</v>
      </c>
      <c r="D145" s="350">
        <f>IF(F144+SUM(E$100:E144)=D$93,F144,D$93-SUM(E$100:E144))</f>
        <v>0</v>
      </c>
      <c r="E145" s="630">
        <f t="shared" si="17"/>
        <v>0</v>
      </c>
      <c r="F145" s="511">
        <f t="shared" si="18"/>
        <v>0</v>
      </c>
      <c r="G145" s="511">
        <f t="shared" si="19"/>
        <v>0</v>
      </c>
      <c r="H145" s="631">
        <f t="shared" si="20"/>
        <v>0</v>
      </c>
      <c r="I145" s="632">
        <f t="shared" si="21"/>
        <v>0</v>
      </c>
      <c r="J145" s="505">
        <f t="shared" si="16"/>
        <v>0</v>
      </c>
      <c r="K145" s="505"/>
      <c r="L145" s="513"/>
      <c r="M145" s="505">
        <f t="shared" si="22"/>
        <v>0</v>
      </c>
      <c r="N145" s="513"/>
      <c r="O145" s="505">
        <f t="shared" si="23"/>
        <v>0</v>
      </c>
      <c r="P145" s="505">
        <f t="shared" si="24"/>
        <v>0</v>
      </c>
      <c r="Q145" s="244"/>
      <c r="R145" s="244"/>
      <c r="S145" s="244"/>
      <c r="T145" s="244"/>
      <c r="U145" s="244"/>
    </row>
    <row r="146" spans="2:21" ht="12.5">
      <c r="B146" s="145" t="str">
        <f t="shared" si="15"/>
        <v/>
      </c>
      <c r="C146" s="496">
        <f>IF(D94="","-",+C145+1)</f>
        <v>2060</v>
      </c>
      <c r="D146" s="350">
        <f>IF(F145+SUM(E$100:E145)=D$93,F145,D$93-SUM(E$100:E145))</f>
        <v>0</v>
      </c>
      <c r="E146" s="630">
        <f t="shared" si="17"/>
        <v>0</v>
      </c>
      <c r="F146" s="511">
        <f t="shared" si="18"/>
        <v>0</v>
      </c>
      <c r="G146" s="511">
        <f t="shared" si="19"/>
        <v>0</v>
      </c>
      <c r="H146" s="631">
        <f t="shared" si="20"/>
        <v>0</v>
      </c>
      <c r="I146" s="632">
        <f t="shared" si="21"/>
        <v>0</v>
      </c>
      <c r="J146" s="505">
        <f t="shared" si="16"/>
        <v>0</v>
      </c>
      <c r="K146" s="505"/>
      <c r="L146" s="513"/>
      <c r="M146" s="505">
        <f t="shared" si="22"/>
        <v>0</v>
      </c>
      <c r="N146" s="513"/>
      <c r="O146" s="505">
        <f t="shared" si="23"/>
        <v>0</v>
      </c>
      <c r="P146" s="505">
        <f t="shared" si="24"/>
        <v>0</v>
      </c>
      <c r="Q146" s="244"/>
      <c r="R146" s="244"/>
      <c r="S146" s="244"/>
      <c r="T146" s="244"/>
      <c r="U146" s="244"/>
    </row>
    <row r="147" spans="2:21" ht="12.5">
      <c r="B147" s="145" t="str">
        <f t="shared" si="15"/>
        <v/>
      </c>
      <c r="C147" s="496">
        <f>IF(D94="","-",+C146+1)</f>
        <v>2061</v>
      </c>
      <c r="D147" s="350">
        <f>IF(F146+SUM(E$100:E146)=D$93,F146,D$93-SUM(E$100:E146))</f>
        <v>0</v>
      </c>
      <c r="E147" s="630">
        <f t="shared" si="17"/>
        <v>0</v>
      </c>
      <c r="F147" s="511">
        <f t="shared" si="18"/>
        <v>0</v>
      </c>
      <c r="G147" s="511">
        <f t="shared" si="19"/>
        <v>0</v>
      </c>
      <c r="H147" s="631">
        <f t="shared" si="20"/>
        <v>0</v>
      </c>
      <c r="I147" s="632">
        <f t="shared" si="21"/>
        <v>0</v>
      </c>
      <c r="J147" s="505">
        <f t="shared" si="16"/>
        <v>0</v>
      </c>
      <c r="K147" s="505"/>
      <c r="L147" s="513"/>
      <c r="M147" s="505">
        <f t="shared" si="22"/>
        <v>0</v>
      </c>
      <c r="N147" s="513"/>
      <c r="O147" s="505">
        <f t="shared" si="23"/>
        <v>0</v>
      </c>
      <c r="P147" s="505">
        <f t="shared" si="24"/>
        <v>0</v>
      </c>
      <c r="Q147" s="244"/>
      <c r="R147" s="244"/>
      <c r="S147" s="244"/>
      <c r="T147" s="244"/>
      <c r="U147" s="244"/>
    </row>
    <row r="148" spans="2:21" ht="12.5">
      <c r="B148" s="145" t="str">
        <f t="shared" si="15"/>
        <v/>
      </c>
      <c r="C148" s="496">
        <f>IF(D94="","-",+C147+1)</f>
        <v>2062</v>
      </c>
      <c r="D148" s="350">
        <f>IF(F147+SUM(E$100:E147)=D$93,F147,D$93-SUM(E$100:E147))</f>
        <v>0</v>
      </c>
      <c r="E148" s="630">
        <f t="shared" si="17"/>
        <v>0</v>
      </c>
      <c r="F148" s="511">
        <f t="shared" si="18"/>
        <v>0</v>
      </c>
      <c r="G148" s="511">
        <f t="shared" si="19"/>
        <v>0</v>
      </c>
      <c r="H148" s="631">
        <f t="shared" si="20"/>
        <v>0</v>
      </c>
      <c r="I148" s="632">
        <f t="shared" si="21"/>
        <v>0</v>
      </c>
      <c r="J148" s="505">
        <f t="shared" si="16"/>
        <v>0</v>
      </c>
      <c r="K148" s="505"/>
      <c r="L148" s="513"/>
      <c r="M148" s="505">
        <f t="shared" si="22"/>
        <v>0</v>
      </c>
      <c r="N148" s="513"/>
      <c r="O148" s="505">
        <f t="shared" si="23"/>
        <v>0</v>
      </c>
      <c r="P148" s="505">
        <f t="shared" si="24"/>
        <v>0</v>
      </c>
      <c r="Q148" s="244"/>
      <c r="R148" s="244"/>
      <c r="S148" s="244"/>
      <c r="T148" s="244"/>
      <c r="U148" s="244"/>
    </row>
    <row r="149" spans="2:21" ht="12.5">
      <c r="B149" s="145" t="str">
        <f t="shared" si="15"/>
        <v/>
      </c>
      <c r="C149" s="496">
        <f>IF(D94="","-",+C148+1)</f>
        <v>2063</v>
      </c>
      <c r="D149" s="350">
        <f>IF(F148+SUM(E$100:E148)=D$93,F148,D$93-SUM(E$100:E148))</f>
        <v>0</v>
      </c>
      <c r="E149" s="630">
        <f t="shared" si="17"/>
        <v>0</v>
      </c>
      <c r="F149" s="511">
        <f t="shared" si="18"/>
        <v>0</v>
      </c>
      <c r="G149" s="511">
        <f t="shared" si="19"/>
        <v>0</v>
      </c>
      <c r="H149" s="631">
        <f t="shared" si="20"/>
        <v>0</v>
      </c>
      <c r="I149" s="632">
        <f t="shared" si="21"/>
        <v>0</v>
      </c>
      <c r="J149" s="505">
        <f t="shared" si="16"/>
        <v>0</v>
      </c>
      <c r="K149" s="505"/>
      <c r="L149" s="513"/>
      <c r="M149" s="505">
        <f t="shared" si="22"/>
        <v>0</v>
      </c>
      <c r="N149" s="513"/>
      <c r="O149" s="505">
        <f t="shared" si="23"/>
        <v>0</v>
      </c>
      <c r="P149" s="505">
        <f t="shared" si="24"/>
        <v>0</v>
      </c>
      <c r="Q149" s="244"/>
      <c r="R149" s="244"/>
      <c r="S149" s="244"/>
      <c r="T149" s="244"/>
      <c r="U149" s="244"/>
    </row>
    <row r="150" spans="2:21" ht="12.5">
      <c r="B150" s="145" t="str">
        <f t="shared" si="15"/>
        <v/>
      </c>
      <c r="C150" s="496">
        <f>IF(D94="","-",+C149+1)</f>
        <v>2064</v>
      </c>
      <c r="D150" s="350">
        <f>IF(F149+SUM(E$100:E149)=D$93,F149,D$93-SUM(E$100:E149))</f>
        <v>0</v>
      </c>
      <c r="E150" s="630">
        <f t="shared" si="17"/>
        <v>0</v>
      </c>
      <c r="F150" s="511">
        <f t="shared" si="18"/>
        <v>0</v>
      </c>
      <c r="G150" s="511">
        <f t="shared" si="19"/>
        <v>0</v>
      </c>
      <c r="H150" s="631">
        <f t="shared" si="20"/>
        <v>0</v>
      </c>
      <c r="I150" s="632">
        <f t="shared" si="21"/>
        <v>0</v>
      </c>
      <c r="J150" s="505">
        <f t="shared" si="16"/>
        <v>0</v>
      </c>
      <c r="K150" s="505"/>
      <c r="L150" s="513"/>
      <c r="M150" s="505">
        <f t="shared" si="22"/>
        <v>0</v>
      </c>
      <c r="N150" s="513"/>
      <c r="O150" s="505">
        <f t="shared" si="23"/>
        <v>0</v>
      </c>
      <c r="P150" s="505">
        <f t="shared" si="24"/>
        <v>0</v>
      </c>
      <c r="Q150" s="244"/>
      <c r="R150" s="244"/>
      <c r="S150" s="244"/>
      <c r="T150" s="244"/>
      <c r="U150" s="244"/>
    </row>
    <row r="151" spans="2:21" ht="12.5">
      <c r="B151" s="145" t="str">
        <f t="shared" si="15"/>
        <v/>
      </c>
      <c r="C151" s="496">
        <f>IF(D94="","-",+C150+1)</f>
        <v>2065</v>
      </c>
      <c r="D151" s="350">
        <f>IF(F150+SUM(E$100:E150)=D$93,F150,D$93-SUM(E$100:E150))</f>
        <v>0</v>
      </c>
      <c r="E151" s="630">
        <f t="shared" si="17"/>
        <v>0</v>
      </c>
      <c r="F151" s="511">
        <f t="shared" si="18"/>
        <v>0</v>
      </c>
      <c r="G151" s="511">
        <f t="shared" si="19"/>
        <v>0</v>
      </c>
      <c r="H151" s="631">
        <f t="shared" si="20"/>
        <v>0</v>
      </c>
      <c r="I151" s="632">
        <f t="shared" si="21"/>
        <v>0</v>
      </c>
      <c r="J151" s="505">
        <f t="shared" si="16"/>
        <v>0</v>
      </c>
      <c r="K151" s="505"/>
      <c r="L151" s="513"/>
      <c r="M151" s="505">
        <f t="shared" si="22"/>
        <v>0</v>
      </c>
      <c r="N151" s="513"/>
      <c r="O151" s="505">
        <f t="shared" si="23"/>
        <v>0</v>
      </c>
      <c r="P151" s="505">
        <f t="shared" si="24"/>
        <v>0</v>
      </c>
      <c r="Q151" s="244"/>
      <c r="R151" s="244"/>
      <c r="S151" s="244"/>
      <c r="T151" s="244"/>
      <c r="U151" s="244"/>
    </row>
    <row r="152" spans="2:21" ht="12.5">
      <c r="B152" s="145" t="str">
        <f t="shared" si="15"/>
        <v/>
      </c>
      <c r="C152" s="496">
        <f>IF(D94="","-",+C151+1)</f>
        <v>2066</v>
      </c>
      <c r="D152" s="350">
        <f>IF(F151+SUM(E$100:E151)=D$93,F151,D$93-SUM(E$100:E151))</f>
        <v>0</v>
      </c>
      <c r="E152" s="630">
        <f t="shared" si="17"/>
        <v>0</v>
      </c>
      <c r="F152" s="511">
        <f t="shared" si="18"/>
        <v>0</v>
      </c>
      <c r="G152" s="511">
        <f t="shared" si="19"/>
        <v>0</v>
      </c>
      <c r="H152" s="631">
        <f t="shared" si="20"/>
        <v>0</v>
      </c>
      <c r="I152" s="632">
        <f t="shared" si="21"/>
        <v>0</v>
      </c>
      <c r="J152" s="505">
        <f t="shared" si="16"/>
        <v>0</v>
      </c>
      <c r="K152" s="505"/>
      <c r="L152" s="513"/>
      <c r="M152" s="505">
        <f t="shared" si="22"/>
        <v>0</v>
      </c>
      <c r="N152" s="513"/>
      <c r="O152" s="505">
        <f t="shared" si="23"/>
        <v>0</v>
      </c>
      <c r="P152" s="505">
        <f t="shared" si="24"/>
        <v>0</v>
      </c>
      <c r="Q152" s="244"/>
      <c r="R152" s="244"/>
      <c r="S152" s="244"/>
      <c r="T152" s="244"/>
      <c r="U152" s="244"/>
    </row>
    <row r="153" spans="2:21" ht="12.5">
      <c r="B153" s="145" t="str">
        <f t="shared" si="15"/>
        <v/>
      </c>
      <c r="C153" s="496">
        <f>IF(D94="","-",+C152+1)</f>
        <v>2067</v>
      </c>
      <c r="D153" s="350">
        <f>IF(F152+SUM(E$100:E152)=D$93,F152,D$93-SUM(E$100:E152))</f>
        <v>0</v>
      </c>
      <c r="E153" s="630">
        <f t="shared" si="17"/>
        <v>0</v>
      </c>
      <c r="F153" s="511">
        <f t="shared" si="18"/>
        <v>0</v>
      </c>
      <c r="G153" s="511">
        <f t="shared" si="19"/>
        <v>0</v>
      </c>
      <c r="H153" s="631">
        <f t="shared" si="20"/>
        <v>0</v>
      </c>
      <c r="I153" s="632">
        <f t="shared" si="21"/>
        <v>0</v>
      </c>
      <c r="J153" s="505">
        <f t="shared" si="16"/>
        <v>0</v>
      </c>
      <c r="K153" s="505"/>
      <c r="L153" s="513"/>
      <c r="M153" s="505">
        <f t="shared" si="22"/>
        <v>0</v>
      </c>
      <c r="N153" s="513"/>
      <c r="O153" s="505">
        <f t="shared" si="23"/>
        <v>0</v>
      </c>
      <c r="P153" s="505">
        <f t="shared" si="24"/>
        <v>0</v>
      </c>
      <c r="Q153" s="244"/>
      <c r="R153" s="244"/>
      <c r="S153" s="244"/>
      <c r="T153" s="244"/>
      <c r="U153" s="244"/>
    </row>
    <row r="154" spans="2:21" ht="12.5">
      <c r="B154" s="145" t="str">
        <f t="shared" si="15"/>
        <v/>
      </c>
      <c r="C154" s="496">
        <f>IF(D94="","-",+C153+1)</f>
        <v>2068</v>
      </c>
      <c r="D154" s="350">
        <f>IF(F153+SUM(E$100:E153)=D$93,F153,D$93-SUM(E$100:E153))</f>
        <v>0</v>
      </c>
      <c r="E154" s="630">
        <f t="shared" si="17"/>
        <v>0</v>
      </c>
      <c r="F154" s="511">
        <f t="shared" si="18"/>
        <v>0</v>
      </c>
      <c r="G154" s="511">
        <f t="shared" si="19"/>
        <v>0</v>
      </c>
      <c r="H154" s="631">
        <f t="shared" si="20"/>
        <v>0</v>
      </c>
      <c r="I154" s="632">
        <f t="shared" si="21"/>
        <v>0</v>
      </c>
      <c r="J154" s="505">
        <f t="shared" si="16"/>
        <v>0</v>
      </c>
      <c r="K154" s="505"/>
      <c r="L154" s="513"/>
      <c r="M154" s="505">
        <f t="shared" si="22"/>
        <v>0</v>
      </c>
      <c r="N154" s="513"/>
      <c r="O154" s="505">
        <f t="shared" si="23"/>
        <v>0</v>
      </c>
      <c r="P154" s="505">
        <f t="shared" si="24"/>
        <v>0</v>
      </c>
      <c r="Q154" s="244"/>
      <c r="R154" s="244"/>
      <c r="S154" s="244"/>
      <c r="T154" s="244"/>
      <c r="U154" s="244"/>
    </row>
    <row r="155" spans="2:21" ht="13" thickBot="1">
      <c r="B155" s="145" t="str">
        <f t="shared" si="15"/>
        <v/>
      </c>
      <c r="C155" s="525">
        <f>IF(D94="","-",+C154+1)</f>
        <v>2069</v>
      </c>
      <c r="D155" s="619">
        <f>IF(F154+SUM(E$100:E154)=D$93,F154,D$93-SUM(E$100:E154))</f>
        <v>0</v>
      </c>
      <c r="E155" s="633">
        <f t="shared" si="17"/>
        <v>0</v>
      </c>
      <c r="F155" s="528">
        <f t="shared" si="18"/>
        <v>0</v>
      </c>
      <c r="G155" s="528">
        <f t="shared" si="19"/>
        <v>0</v>
      </c>
      <c r="H155" s="634">
        <f t="shared" si="20"/>
        <v>0</v>
      </c>
      <c r="I155" s="635">
        <f t="shared" si="21"/>
        <v>0</v>
      </c>
      <c r="J155" s="532">
        <f t="shared" si="16"/>
        <v>0</v>
      </c>
      <c r="K155" s="505"/>
      <c r="L155" s="531"/>
      <c r="M155" s="532">
        <f t="shared" si="22"/>
        <v>0</v>
      </c>
      <c r="N155" s="531"/>
      <c r="O155" s="532">
        <f t="shared" si="23"/>
        <v>0</v>
      </c>
      <c r="P155" s="532">
        <f t="shared" si="24"/>
        <v>0</v>
      </c>
      <c r="Q155" s="244"/>
      <c r="R155" s="244"/>
      <c r="S155" s="244"/>
      <c r="T155" s="244"/>
      <c r="U155" s="244"/>
    </row>
    <row r="156" spans="2:21" ht="12.5">
      <c r="C156" s="350" t="s">
        <v>75</v>
      </c>
      <c r="D156" s="295"/>
      <c r="E156" s="295">
        <f>SUM(E100:E155)</f>
        <v>20242585.000000004</v>
      </c>
      <c r="F156" s="295"/>
      <c r="G156" s="295"/>
      <c r="H156" s="295">
        <f>SUM(H100:H155)</f>
        <v>58363261.390769586</v>
      </c>
      <c r="I156" s="295">
        <f>SUM(I100:I155)</f>
        <v>58363261.390769586</v>
      </c>
      <c r="J156" s="295">
        <f>SUM(J100:J155)</f>
        <v>0</v>
      </c>
      <c r="K156" s="295"/>
      <c r="L156" s="295"/>
      <c r="M156" s="295"/>
      <c r="N156" s="295"/>
      <c r="O156" s="295"/>
      <c r="P156" s="244"/>
      <c r="Q156" s="244"/>
      <c r="R156" s="244"/>
      <c r="S156" s="244"/>
      <c r="T156" s="244"/>
      <c r="U156" s="244"/>
    </row>
    <row r="157" spans="2:21" ht="12.5">
      <c r="C157" s="145" t="s">
        <v>90</v>
      </c>
      <c r="D157" s="293"/>
      <c r="E157" s="244"/>
      <c r="F157" s="244"/>
      <c r="G157" s="244"/>
      <c r="H157" s="244"/>
      <c r="I157" s="326"/>
      <c r="J157" s="326"/>
      <c r="K157" s="295"/>
      <c r="L157" s="326"/>
      <c r="M157" s="326"/>
      <c r="N157" s="326"/>
      <c r="O157" s="326"/>
      <c r="P157" s="244"/>
      <c r="Q157" s="244"/>
      <c r="R157" s="244"/>
      <c r="S157" s="244"/>
      <c r="T157" s="244"/>
      <c r="U157" s="244"/>
    </row>
    <row r="158" spans="2:21" ht="12.5">
      <c r="C158" s="575"/>
      <c r="D158" s="293"/>
      <c r="E158" s="244"/>
      <c r="F158" s="244"/>
      <c r="G158" s="244"/>
      <c r="H158" s="244"/>
      <c r="I158" s="326"/>
      <c r="J158" s="326"/>
      <c r="K158" s="295"/>
      <c r="L158" s="326"/>
      <c r="M158" s="326"/>
      <c r="N158" s="326"/>
      <c r="O158" s="326"/>
      <c r="P158" s="244"/>
      <c r="Q158" s="244"/>
      <c r="R158" s="244"/>
      <c r="S158" s="244"/>
      <c r="T158" s="244"/>
      <c r="U158" s="244"/>
    </row>
    <row r="159" spans="2:21" ht="13">
      <c r="C159" s="620" t="s">
        <v>130</v>
      </c>
      <c r="D159" s="293"/>
      <c r="E159" s="244"/>
      <c r="F159" s="244"/>
      <c r="G159" s="244"/>
      <c r="H159" s="244"/>
      <c r="I159" s="326"/>
      <c r="J159" s="326"/>
      <c r="K159" s="295"/>
      <c r="L159" s="326"/>
      <c r="M159" s="326"/>
      <c r="N159" s="326"/>
      <c r="O159" s="326"/>
      <c r="P159" s="244"/>
      <c r="Q159" s="244"/>
      <c r="R159" s="244"/>
      <c r="S159" s="244"/>
      <c r="T159" s="244"/>
      <c r="U159" s="244"/>
    </row>
    <row r="160" spans="2:21" ht="13">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ht="13">
      <c r="C162" s="576"/>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27" priority="1" stopIfTrue="1" operator="equal">
      <formula>$I$10</formula>
    </cfRule>
  </conditionalFormatting>
  <conditionalFormatting sqref="C100:C155">
    <cfRule type="cellIs" dxfId="26"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9" tint="0.39997558519241921"/>
  </sheetPr>
  <dimension ref="A1:U163"/>
  <sheetViews>
    <sheetView view="pageBreakPreview" zoomScale="78" zoomScaleNormal="100" zoomScaleSheetLayoutView="78" workbookViewId="0">
      <selection activeCell="D10" sqref="D10"/>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"&amp;RIGHT(MID(CELL("filename",$A$1),FIND("]",CELL("filename",$A$1))+1,256),2)&amp;" of "&amp;COUNT('OKT.001:OKT.xyz - blank'!$P$3)-1</f>
        <v>OKT Project 12 of 19</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1609165.6729314029</v>
      </c>
      <c r="P5" s="244"/>
      <c r="R5" s="244"/>
      <c r="S5" s="244"/>
      <c r="T5" s="244"/>
      <c r="U5" s="244"/>
    </row>
    <row r="6" spans="1:21" ht="15.5">
      <c r="C6" s="236"/>
      <c r="D6" s="293"/>
      <c r="E6" s="244"/>
      <c r="F6" s="244"/>
      <c r="G6" s="244"/>
      <c r="H6" s="450"/>
      <c r="I6" s="450"/>
      <c r="J6" s="451"/>
      <c r="K6" s="452" t="s">
        <v>243</v>
      </c>
      <c r="L6" s="453"/>
      <c r="M6" s="279"/>
      <c r="N6" s="454">
        <f>VLOOKUP(I10,C17:I73,6)</f>
        <v>1609165.6729314029</v>
      </c>
      <c r="O6" s="244"/>
      <c r="P6" s="244"/>
      <c r="R6" s="244"/>
      <c r="S6" s="244"/>
      <c r="T6" s="244"/>
      <c r="U6" s="244"/>
    </row>
    <row r="7" spans="1:21" ht="13.5" thickBot="1">
      <c r="C7" s="455" t="s">
        <v>46</v>
      </c>
      <c r="D7" s="456" t="s">
        <v>224</v>
      </c>
      <c r="E7" s="244"/>
      <c r="F7" s="244"/>
      <c r="G7" s="244"/>
      <c r="H7" s="326"/>
      <c r="I7" s="326"/>
      <c r="J7" s="295"/>
      <c r="K7" s="457" t="s">
        <v>47</v>
      </c>
      <c r="L7" s="458"/>
      <c r="M7" s="458"/>
      <c r="N7" s="459">
        <f>+N6-N5</f>
        <v>0</v>
      </c>
      <c r="O7" s="244"/>
      <c r="P7" s="244"/>
      <c r="R7" s="244"/>
      <c r="S7" s="244"/>
      <c r="T7" s="244"/>
      <c r="U7" s="244"/>
    </row>
    <row r="8" spans="1:21" ht="13.5" thickBot="1">
      <c r="C8" s="460"/>
      <c r="D8" s="626" t="s">
        <v>230</v>
      </c>
      <c r="E8" s="462"/>
      <c r="F8" s="462"/>
      <c r="G8" s="462"/>
      <c r="H8" s="462"/>
      <c r="I8" s="462"/>
      <c r="J8" s="463"/>
      <c r="K8" s="462"/>
      <c r="L8" s="462"/>
      <c r="M8" s="462"/>
      <c r="N8" s="462"/>
      <c r="O8" s="463"/>
      <c r="P8" s="249"/>
      <c r="R8" s="244"/>
      <c r="S8" s="244"/>
      <c r="T8" s="244"/>
      <c r="U8" s="244"/>
    </row>
    <row r="9" spans="1:21" ht="13.5" thickBot="1">
      <c r="C9" s="464" t="s">
        <v>48</v>
      </c>
      <c r="D9" s="465" t="s">
        <v>223</v>
      </c>
      <c r="E9" s="466"/>
      <c r="F9" s="466"/>
      <c r="G9" s="466"/>
      <c r="H9" s="466"/>
      <c r="I9" s="467"/>
      <c r="J9" s="468"/>
      <c r="O9" s="469"/>
      <c r="P9" s="279"/>
      <c r="R9" s="244"/>
      <c r="S9" s="244"/>
      <c r="T9" s="244"/>
      <c r="U9" s="244"/>
    </row>
    <row r="10" spans="1:21" ht="13">
      <c r="C10" s="470" t="s">
        <v>49</v>
      </c>
      <c r="D10" s="471">
        <v>13254470.189999999</v>
      </c>
      <c r="E10" s="300" t="s">
        <v>50</v>
      </c>
      <c r="F10" s="469"/>
      <c r="G10" s="409"/>
      <c r="H10" s="409"/>
      <c r="I10" s="472">
        <f>+OKT.WS.F.BPU.ATRR.Projected!R100</f>
        <v>2019</v>
      </c>
      <c r="J10" s="468"/>
      <c r="K10" s="295" t="s">
        <v>51</v>
      </c>
      <c r="O10" s="279"/>
      <c r="P10" s="279"/>
      <c r="R10" s="244"/>
      <c r="S10" s="244"/>
      <c r="T10" s="244"/>
      <c r="U10" s="244"/>
    </row>
    <row r="11" spans="1:21" ht="12.5">
      <c r="C11" s="473" t="s">
        <v>52</v>
      </c>
      <c r="D11" s="474">
        <v>2013</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10</v>
      </c>
      <c r="E12" s="473" t="s">
        <v>55</v>
      </c>
      <c r="F12" s="409"/>
      <c r="G12" s="221"/>
      <c r="H12" s="221"/>
      <c r="I12" s="477">
        <f>OKT.WS.F.BPU.ATRR.Projected!$F$78</f>
        <v>0.11749102697326873</v>
      </c>
      <c r="J12" s="414"/>
      <c r="K12" s="145" t="s">
        <v>56</v>
      </c>
      <c r="O12" s="279"/>
      <c r="P12" s="279"/>
      <c r="R12" s="244"/>
      <c r="S12" s="244"/>
      <c r="T12" s="244"/>
      <c r="U12" s="244"/>
    </row>
    <row r="13" spans="1:21" ht="12.5">
      <c r="C13" s="473" t="s">
        <v>57</v>
      </c>
      <c r="D13" s="475">
        <f>+OKT.WS.F.BPU.ATRR.Projected!F$89</f>
        <v>41</v>
      </c>
      <c r="E13" s="473" t="s">
        <v>58</v>
      </c>
      <c r="F13" s="409"/>
      <c r="G13" s="221"/>
      <c r="H13" s="221"/>
      <c r="I13" s="477">
        <f>IF(G5="",I12,OKT.WS.F.BPU.ATRR.Projected!$F$77)</f>
        <v>0.11749102697326873</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323279.76073170733</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73" si="0">IF(D17=F16,"","IU")</f>
        <v>IU</v>
      </c>
      <c r="C17" s="496">
        <f>IF(D11= "","-",D11)</f>
        <v>2013</v>
      </c>
      <c r="D17" s="613">
        <v>13254470.189999999</v>
      </c>
      <c r="E17" s="621">
        <v>38215.310782576453</v>
      </c>
      <c r="F17" s="613">
        <v>13216254.879217423</v>
      </c>
      <c r="G17" s="621">
        <v>401752.61137886974</v>
      </c>
      <c r="H17" s="618">
        <v>401752.61137886974</v>
      </c>
      <c r="I17" s="636">
        <v>0</v>
      </c>
      <c r="J17" s="501"/>
      <c r="K17" s="502">
        <f t="shared" ref="K17:K22" si="1">G17</f>
        <v>401752.61137886974</v>
      </c>
      <c r="L17" s="503">
        <f t="shared" ref="L17:L22" si="2">IF(K17&lt;&gt;0,+G17-K17,0)</f>
        <v>0</v>
      </c>
      <c r="M17" s="502">
        <f t="shared" ref="M17:M22" si="3">H17</f>
        <v>401752.61137886974</v>
      </c>
      <c r="N17" s="504">
        <f>IF(M17&lt;&gt;0,+H17-M17,0)</f>
        <v>0</v>
      </c>
      <c r="O17" s="505">
        <f>+N17-L17</f>
        <v>0</v>
      </c>
      <c r="P17" s="279"/>
      <c r="R17" s="244"/>
      <c r="S17" s="244"/>
      <c r="T17" s="244"/>
      <c r="U17" s="244"/>
    </row>
    <row r="18" spans="2:21" ht="12.5">
      <c r="B18" s="145" t="str">
        <f t="shared" si="0"/>
        <v/>
      </c>
      <c r="C18" s="496">
        <f>IF(D11="","-",+C17+1)</f>
        <v>2014</v>
      </c>
      <c r="D18" s="615">
        <v>13216254.879217423</v>
      </c>
      <c r="E18" s="614">
        <v>229291.86469545873</v>
      </c>
      <c r="F18" s="615">
        <v>12986963.014521964</v>
      </c>
      <c r="G18" s="614">
        <v>1658212.6960173119</v>
      </c>
      <c r="H18" s="618">
        <v>1658212.6960173119</v>
      </c>
      <c r="I18" s="636">
        <v>0</v>
      </c>
      <c r="J18" s="501"/>
      <c r="K18" s="507">
        <f t="shared" si="1"/>
        <v>1658212.6960173119</v>
      </c>
      <c r="L18" s="508">
        <f t="shared" si="2"/>
        <v>0</v>
      </c>
      <c r="M18" s="507">
        <f t="shared" si="3"/>
        <v>1658212.6960173119</v>
      </c>
      <c r="N18" s="505">
        <f>IF(M18&lt;&gt;0,+H18-M18,0)</f>
        <v>0</v>
      </c>
      <c r="O18" s="505">
        <f>+N18-L18</f>
        <v>0</v>
      </c>
      <c r="P18" s="279"/>
      <c r="R18" s="244"/>
      <c r="S18" s="244"/>
      <c r="T18" s="244"/>
      <c r="U18" s="244"/>
    </row>
    <row r="19" spans="2:21" ht="12.5">
      <c r="B19" s="145" t="str">
        <f t="shared" si="0"/>
        <v/>
      </c>
      <c r="C19" s="496">
        <f>IF(D11="","-",+C18+1)</f>
        <v>2015</v>
      </c>
      <c r="D19" s="615">
        <v>12986963.014521964</v>
      </c>
      <c r="E19" s="614">
        <v>229291.86469545873</v>
      </c>
      <c r="F19" s="615">
        <v>12757671.149826504</v>
      </c>
      <c r="G19" s="614">
        <v>1544166.8315919416</v>
      </c>
      <c r="H19" s="618">
        <v>1544166.8315919416</v>
      </c>
      <c r="I19" s="501">
        <v>0</v>
      </c>
      <c r="J19" s="501"/>
      <c r="K19" s="507">
        <f t="shared" si="1"/>
        <v>1544166.8315919416</v>
      </c>
      <c r="L19" s="508">
        <f t="shared" si="2"/>
        <v>0</v>
      </c>
      <c r="M19" s="507">
        <f t="shared" si="3"/>
        <v>1544166.8315919416</v>
      </c>
      <c r="N19" s="505">
        <f>IF(M19&lt;&gt;0,+H19-M19,0)</f>
        <v>0</v>
      </c>
      <c r="O19" s="505">
        <f>+N19-L19</f>
        <v>0</v>
      </c>
      <c r="P19" s="279"/>
      <c r="R19" s="244"/>
      <c r="S19" s="244"/>
      <c r="T19" s="244"/>
      <c r="U19" s="244"/>
    </row>
    <row r="20" spans="2:21" ht="12.5">
      <c r="B20" s="145" t="str">
        <f t="shared" si="0"/>
        <v/>
      </c>
      <c r="C20" s="496">
        <f>IF(D11="","-",+C19+1)</f>
        <v>2016</v>
      </c>
      <c r="D20" s="615">
        <v>12757671.149826504</v>
      </c>
      <c r="E20" s="614">
        <v>275420.65562452108</v>
      </c>
      <c r="F20" s="615">
        <v>12482250.494201982</v>
      </c>
      <c r="G20" s="614">
        <v>1622010.458293594</v>
      </c>
      <c r="H20" s="618">
        <v>1622010.458293594</v>
      </c>
      <c r="I20" s="501">
        <f>H20-G20</f>
        <v>0</v>
      </c>
      <c r="J20" s="501"/>
      <c r="K20" s="507">
        <f t="shared" si="1"/>
        <v>1622010.458293594</v>
      </c>
      <c r="L20" s="508">
        <f t="shared" si="2"/>
        <v>0</v>
      </c>
      <c r="M20" s="507">
        <f t="shared" si="3"/>
        <v>1622010.458293594</v>
      </c>
      <c r="N20" s="505">
        <f t="shared" ref="N20:N73" si="4">IF(M20&lt;&gt;0,+H20-M20,0)</f>
        <v>0</v>
      </c>
      <c r="O20" s="505">
        <f t="shared" ref="O20:O73" si="5">+N20-L20</f>
        <v>0</v>
      </c>
      <c r="P20" s="279"/>
      <c r="R20" s="244"/>
      <c r="S20" s="244"/>
      <c r="T20" s="244"/>
      <c r="U20" s="244"/>
    </row>
    <row r="21" spans="2:21" ht="12.5">
      <c r="B21" s="145" t="str">
        <f t="shared" si="0"/>
        <v/>
      </c>
      <c r="C21" s="496">
        <f>IF(D11="","-",+C20+1)</f>
        <v>2017</v>
      </c>
      <c r="D21" s="615">
        <v>12482250.494201982</v>
      </c>
      <c r="E21" s="614">
        <v>260609.12491948562</v>
      </c>
      <c r="F21" s="615">
        <v>12221641.369282497</v>
      </c>
      <c r="G21" s="614">
        <v>1618581.7191927545</v>
      </c>
      <c r="H21" s="618">
        <v>1618581.7191927545</v>
      </c>
      <c r="I21" s="501">
        <f t="shared" ref="I21:I73" si="6">H21-G21</f>
        <v>0</v>
      </c>
      <c r="J21" s="501"/>
      <c r="K21" s="507">
        <f t="shared" si="1"/>
        <v>1618581.7191927545</v>
      </c>
      <c r="L21" s="508">
        <f t="shared" si="2"/>
        <v>0</v>
      </c>
      <c r="M21" s="507">
        <f t="shared" si="3"/>
        <v>1618581.7191927545</v>
      </c>
      <c r="N21" s="505">
        <f>IF(M21&lt;&gt;0,+H21-M21,0)</f>
        <v>0</v>
      </c>
      <c r="O21" s="505">
        <f>+N21-L21</f>
        <v>0</v>
      </c>
      <c r="P21" s="279"/>
      <c r="R21" s="244"/>
      <c r="S21" s="244"/>
      <c r="T21" s="244"/>
      <c r="U21" s="244"/>
    </row>
    <row r="22" spans="2:21" ht="12.5">
      <c r="B22" s="145" t="str">
        <f t="shared" si="0"/>
        <v/>
      </c>
      <c r="C22" s="496">
        <f>IF(D11="","-",+C21+1)</f>
        <v>2018</v>
      </c>
      <c r="D22" s="615">
        <v>12221641.369282497</v>
      </c>
      <c r="E22" s="614">
        <v>325060.34019690572</v>
      </c>
      <c r="F22" s="615">
        <v>11896581.029085591</v>
      </c>
      <c r="G22" s="614">
        <v>1550551.2314778133</v>
      </c>
      <c r="H22" s="618">
        <v>1550551.2314778133</v>
      </c>
      <c r="I22" s="501">
        <v>0</v>
      </c>
      <c r="J22" s="501"/>
      <c r="K22" s="507">
        <f t="shared" si="1"/>
        <v>1550551.2314778133</v>
      </c>
      <c r="L22" s="508">
        <f t="shared" si="2"/>
        <v>0</v>
      </c>
      <c r="M22" s="507">
        <f t="shared" si="3"/>
        <v>1550551.2314778133</v>
      </c>
      <c r="N22" s="505">
        <f>IF(M22&lt;&gt;0,+H22-M22,0)</f>
        <v>0</v>
      </c>
      <c r="O22" s="505">
        <f>+N22-L22</f>
        <v>0</v>
      </c>
      <c r="P22" s="279"/>
      <c r="R22" s="244"/>
      <c r="S22" s="244"/>
      <c r="T22" s="244"/>
      <c r="U22" s="244"/>
    </row>
    <row r="23" spans="2:21" ht="12.5">
      <c r="B23" s="145" t="str">
        <f t="shared" si="0"/>
        <v/>
      </c>
      <c r="C23" s="496">
        <f>IF(D11="","-",+C22+1)</f>
        <v>2019</v>
      </c>
      <c r="D23" s="615">
        <v>11896581.029085591</v>
      </c>
      <c r="E23" s="614">
        <v>393112.30239963421</v>
      </c>
      <c r="F23" s="615">
        <v>11503468.726685958</v>
      </c>
      <c r="G23" s="614">
        <v>1609165.6729314029</v>
      </c>
      <c r="H23" s="618">
        <v>1609165.6729314029</v>
      </c>
      <c r="I23" s="501">
        <f t="shared" si="6"/>
        <v>0</v>
      </c>
      <c r="J23" s="501"/>
      <c r="K23" s="507">
        <f t="shared" ref="K23" si="7">G23</f>
        <v>1609165.6729314029</v>
      </c>
      <c r="L23" s="508">
        <f t="shared" ref="L23" si="8">IF(K23&lt;&gt;0,+G23-K23,0)</f>
        <v>0</v>
      </c>
      <c r="M23" s="507">
        <f t="shared" ref="M23" si="9">H23</f>
        <v>1609165.6729314029</v>
      </c>
      <c r="N23" s="505">
        <f>IF(M23&lt;&gt;0,+H23-M23,0)</f>
        <v>0</v>
      </c>
      <c r="O23" s="505">
        <f>+N23-L23</f>
        <v>0</v>
      </c>
      <c r="P23" s="279"/>
      <c r="R23" s="244"/>
      <c r="S23" s="244"/>
      <c r="T23" s="244"/>
      <c r="U23" s="244"/>
    </row>
    <row r="24" spans="2:21" ht="12.5">
      <c r="B24" s="145" t="str">
        <f t="shared" si="0"/>
        <v/>
      </c>
      <c r="C24" s="496">
        <f>IF(D11="","-",+C23+1)</f>
        <v>2020</v>
      </c>
      <c r="D24" s="509">
        <f>IF(F23+SUM(E$17:E23)=D$10,F23,D$10-SUM(E$17:E23))</f>
        <v>11503468.726685958</v>
      </c>
      <c r="E24" s="510">
        <f t="shared" ref="E24:E73" si="10">IF(+$I$14&lt;F23,$I$14,D24)</f>
        <v>323279.76073170733</v>
      </c>
      <c r="F24" s="511">
        <f t="shared" ref="F24:F73" si="11">+D24-E24</f>
        <v>11180188.965954252</v>
      </c>
      <c r="G24" s="512">
        <f t="shared" ref="G24:G73" si="12">(D24+F24)/2*I$12+E24</f>
        <v>1655842.8796409001</v>
      </c>
      <c r="H24" s="478">
        <f t="shared" ref="H24:H73" si="13">+(D24+F24)/2*I$13+E24</f>
        <v>1655842.8796409001</v>
      </c>
      <c r="I24" s="501">
        <f t="shared" si="6"/>
        <v>0</v>
      </c>
      <c r="J24" s="501"/>
      <c r="K24" s="513"/>
      <c r="L24" s="505">
        <f t="shared" ref="L24:L73" si="14">IF(K24&lt;&gt;0,+G24-K24,0)</f>
        <v>0</v>
      </c>
      <c r="M24" s="513"/>
      <c r="N24" s="505">
        <f t="shared" si="4"/>
        <v>0</v>
      </c>
      <c r="O24" s="505">
        <f t="shared" si="5"/>
        <v>0</v>
      </c>
      <c r="P24" s="279"/>
      <c r="R24" s="244"/>
      <c r="S24" s="244"/>
      <c r="T24" s="244"/>
      <c r="U24" s="244"/>
    </row>
    <row r="25" spans="2:21" ht="12.5">
      <c r="B25" s="145" t="str">
        <f t="shared" si="0"/>
        <v/>
      </c>
      <c r="C25" s="496">
        <f>IF(D11="","-",+C24+1)</f>
        <v>2021</v>
      </c>
      <c r="D25" s="509">
        <f>IF(F24+SUM(E$17:E24)=D$10,F24,D$10-SUM(E$17:E24))</f>
        <v>11180188.965954252</v>
      </c>
      <c r="E25" s="510">
        <f t="shared" si="10"/>
        <v>323279.76073170733</v>
      </c>
      <c r="F25" s="511">
        <f t="shared" si="11"/>
        <v>10856909.205222543</v>
      </c>
      <c r="G25" s="512">
        <f t="shared" si="12"/>
        <v>1617860.4085528592</v>
      </c>
      <c r="H25" s="478">
        <f t="shared" si="13"/>
        <v>1617860.4085528592</v>
      </c>
      <c r="I25" s="501">
        <f t="shared" si="6"/>
        <v>0</v>
      </c>
      <c r="J25" s="501"/>
      <c r="K25" s="513"/>
      <c r="L25" s="505">
        <f t="shared" si="14"/>
        <v>0</v>
      </c>
      <c r="M25" s="513"/>
      <c r="N25" s="505">
        <f t="shared" si="4"/>
        <v>0</v>
      </c>
      <c r="O25" s="505">
        <f t="shared" si="5"/>
        <v>0</v>
      </c>
      <c r="P25" s="279"/>
      <c r="R25" s="244"/>
      <c r="S25" s="244"/>
      <c r="T25" s="244"/>
      <c r="U25" s="244"/>
    </row>
    <row r="26" spans="2:21" ht="12.5">
      <c r="B26" s="145" t="str">
        <f t="shared" si="0"/>
        <v/>
      </c>
      <c r="C26" s="496">
        <f>IF(D11="","-",+C25+1)</f>
        <v>2022</v>
      </c>
      <c r="D26" s="509">
        <f>IF(F25+SUM(E$17:E25)=D$10,F25,D$10-SUM(E$17:E25))</f>
        <v>10856909.205222543</v>
      </c>
      <c r="E26" s="510">
        <f t="shared" si="10"/>
        <v>323279.76073170733</v>
      </c>
      <c r="F26" s="511">
        <f t="shared" si="11"/>
        <v>10533629.444490835</v>
      </c>
      <c r="G26" s="512">
        <f t="shared" si="12"/>
        <v>1579877.9374648181</v>
      </c>
      <c r="H26" s="478">
        <f t="shared" si="13"/>
        <v>1579877.9374648181</v>
      </c>
      <c r="I26" s="501">
        <f t="shared" si="6"/>
        <v>0</v>
      </c>
      <c r="J26" s="501"/>
      <c r="K26" s="513"/>
      <c r="L26" s="505">
        <f t="shared" si="14"/>
        <v>0</v>
      </c>
      <c r="M26" s="513"/>
      <c r="N26" s="505">
        <f t="shared" si="4"/>
        <v>0</v>
      </c>
      <c r="O26" s="505">
        <f t="shared" si="5"/>
        <v>0</v>
      </c>
      <c r="P26" s="279"/>
      <c r="R26" s="244"/>
      <c r="S26" s="244"/>
      <c r="T26" s="244"/>
      <c r="U26" s="244"/>
    </row>
    <row r="27" spans="2:21" ht="12.5">
      <c r="B27" s="145" t="str">
        <f t="shared" si="0"/>
        <v/>
      </c>
      <c r="C27" s="496">
        <f>IF(D11="","-",+C26+1)</f>
        <v>2023</v>
      </c>
      <c r="D27" s="509">
        <f>IF(F26+SUM(E$17:E26)=D$10,F26,D$10-SUM(E$17:E26))</f>
        <v>10533629.444490835</v>
      </c>
      <c r="E27" s="510">
        <f t="shared" si="10"/>
        <v>323279.76073170733</v>
      </c>
      <c r="F27" s="511">
        <f t="shared" si="11"/>
        <v>10210349.683759127</v>
      </c>
      <c r="G27" s="512">
        <f t="shared" si="12"/>
        <v>1541895.4663767773</v>
      </c>
      <c r="H27" s="478">
        <f t="shared" si="13"/>
        <v>1541895.4663767773</v>
      </c>
      <c r="I27" s="501">
        <f t="shared" si="6"/>
        <v>0</v>
      </c>
      <c r="J27" s="501"/>
      <c r="K27" s="513"/>
      <c r="L27" s="505">
        <f t="shared" si="14"/>
        <v>0</v>
      </c>
      <c r="M27" s="513"/>
      <c r="N27" s="505">
        <f t="shared" si="4"/>
        <v>0</v>
      </c>
      <c r="O27" s="505">
        <f t="shared" si="5"/>
        <v>0</v>
      </c>
      <c r="P27" s="279"/>
      <c r="R27" s="244"/>
      <c r="S27" s="244"/>
      <c r="T27" s="244"/>
      <c r="U27" s="244"/>
    </row>
    <row r="28" spans="2:21" ht="12.5">
      <c r="B28" s="145" t="str">
        <f t="shared" si="0"/>
        <v/>
      </c>
      <c r="C28" s="496">
        <f>IF(D11="","-",+C27+1)</f>
        <v>2024</v>
      </c>
      <c r="D28" s="509">
        <f>IF(F27+SUM(E$17:E27)=D$10,F27,D$10-SUM(E$17:E27))</f>
        <v>10210349.683759127</v>
      </c>
      <c r="E28" s="510">
        <f t="shared" si="10"/>
        <v>323279.76073170733</v>
      </c>
      <c r="F28" s="511">
        <f t="shared" si="11"/>
        <v>9887069.9230274186</v>
      </c>
      <c r="G28" s="512">
        <f t="shared" si="12"/>
        <v>1503912.9952887362</v>
      </c>
      <c r="H28" s="478">
        <f t="shared" si="13"/>
        <v>1503912.9952887362</v>
      </c>
      <c r="I28" s="501">
        <f t="shared" si="6"/>
        <v>0</v>
      </c>
      <c r="J28" s="501"/>
      <c r="K28" s="513"/>
      <c r="L28" s="505">
        <f t="shared" si="14"/>
        <v>0</v>
      </c>
      <c r="M28" s="513"/>
      <c r="N28" s="505">
        <f t="shared" si="4"/>
        <v>0</v>
      </c>
      <c r="O28" s="505">
        <f t="shared" si="5"/>
        <v>0</v>
      </c>
      <c r="P28" s="279"/>
      <c r="R28" s="244"/>
      <c r="S28" s="244"/>
      <c r="T28" s="244"/>
      <c r="U28" s="244"/>
    </row>
    <row r="29" spans="2:21" ht="12.5">
      <c r="B29" s="145" t="str">
        <f t="shared" si="0"/>
        <v/>
      </c>
      <c r="C29" s="496">
        <f>IF(D11="","-",+C28+1)</f>
        <v>2025</v>
      </c>
      <c r="D29" s="509">
        <f>IF(F28+SUM(E$17:E28)=D$10,F28,D$10-SUM(E$17:E28))</f>
        <v>9887069.9230274186</v>
      </c>
      <c r="E29" s="510">
        <f t="shared" si="10"/>
        <v>323279.76073170733</v>
      </c>
      <c r="F29" s="511">
        <f t="shared" si="11"/>
        <v>9563790.1622957103</v>
      </c>
      <c r="G29" s="512">
        <f t="shared" si="12"/>
        <v>1465930.5242006953</v>
      </c>
      <c r="H29" s="478">
        <f t="shared" si="13"/>
        <v>1465930.5242006953</v>
      </c>
      <c r="I29" s="501">
        <f t="shared" si="6"/>
        <v>0</v>
      </c>
      <c r="J29" s="501"/>
      <c r="K29" s="513"/>
      <c r="L29" s="505">
        <f t="shared" si="14"/>
        <v>0</v>
      </c>
      <c r="M29" s="513"/>
      <c r="N29" s="505">
        <f t="shared" si="4"/>
        <v>0</v>
      </c>
      <c r="O29" s="505">
        <f t="shared" si="5"/>
        <v>0</v>
      </c>
      <c r="P29" s="279"/>
      <c r="R29" s="244"/>
      <c r="S29" s="244"/>
      <c r="T29" s="244"/>
      <c r="U29" s="244"/>
    </row>
    <row r="30" spans="2:21" ht="12.5">
      <c r="B30" s="145" t="str">
        <f t="shared" si="0"/>
        <v/>
      </c>
      <c r="C30" s="496">
        <f>IF(D11="","-",+C29+1)</f>
        <v>2026</v>
      </c>
      <c r="D30" s="509">
        <f>IF(F29+SUM(E$17:E29)=D$10,F29,D$10-SUM(E$17:E29))</f>
        <v>9563790.1622957103</v>
      </c>
      <c r="E30" s="510">
        <f t="shared" si="10"/>
        <v>323279.76073170733</v>
      </c>
      <c r="F30" s="511">
        <f t="shared" si="11"/>
        <v>9240510.401564002</v>
      </c>
      <c r="G30" s="512">
        <f t="shared" si="12"/>
        <v>1427948.0531126542</v>
      </c>
      <c r="H30" s="478">
        <f t="shared" si="13"/>
        <v>1427948.0531126542</v>
      </c>
      <c r="I30" s="501">
        <f t="shared" si="6"/>
        <v>0</v>
      </c>
      <c r="J30" s="501"/>
      <c r="K30" s="513"/>
      <c r="L30" s="505">
        <f t="shared" si="14"/>
        <v>0</v>
      </c>
      <c r="M30" s="513"/>
      <c r="N30" s="505">
        <f t="shared" si="4"/>
        <v>0</v>
      </c>
      <c r="O30" s="505">
        <f t="shared" si="5"/>
        <v>0</v>
      </c>
      <c r="P30" s="279"/>
      <c r="R30" s="244"/>
      <c r="S30" s="244"/>
      <c r="T30" s="244"/>
      <c r="U30" s="244"/>
    </row>
    <row r="31" spans="2:21" ht="12.5">
      <c r="B31" s="145" t="str">
        <f t="shared" si="0"/>
        <v/>
      </c>
      <c r="C31" s="496">
        <f>IF(D11="","-",+C30+1)</f>
        <v>2027</v>
      </c>
      <c r="D31" s="509">
        <f>IF(F30+SUM(E$17:E30)=D$10,F30,D$10-SUM(E$17:E30))</f>
        <v>9240510.401564002</v>
      </c>
      <c r="E31" s="510">
        <f t="shared" si="10"/>
        <v>323279.76073170733</v>
      </c>
      <c r="F31" s="511">
        <f t="shared" si="11"/>
        <v>8917230.6408322938</v>
      </c>
      <c r="G31" s="512">
        <f t="shared" si="12"/>
        <v>1389965.5820246132</v>
      </c>
      <c r="H31" s="478">
        <f t="shared" si="13"/>
        <v>1389965.5820246132</v>
      </c>
      <c r="I31" s="501">
        <f t="shared" si="6"/>
        <v>0</v>
      </c>
      <c r="J31" s="501"/>
      <c r="K31" s="513"/>
      <c r="L31" s="505">
        <f t="shared" si="14"/>
        <v>0</v>
      </c>
      <c r="M31" s="513"/>
      <c r="N31" s="505">
        <f t="shared" si="4"/>
        <v>0</v>
      </c>
      <c r="O31" s="505">
        <f t="shared" si="5"/>
        <v>0</v>
      </c>
      <c r="P31" s="279"/>
      <c r="Q31" s="221"/>
      <c r="R31" s="279"/>
      <c r="S31" s="279"/>
      <c r="T31" s="279"/>
      <c r="U31" s="244"/>
    </row>
    <row r="32" spans="2:21" ht="12.5">
      <c r="B32" s="145" t="str">
        <f t="shared" si="0"/>
        <v/>
      </c>
      <c r="C32" s="496">
        <f>IF(D12="","-",+C31+1)</f>
        <v>2028</v>
      </c>
      <c r="D32" s="509">
        <f>IF(F31+SUM(E$17:E31)=D$10,F31,D$10-SUM(E$17:E31))</f>
        <v>8917230.6408322938</v>
      </c>
      <c r="E32" s="510">
        <f>IF(+$I$14&lt;F31,$I$14,D32)</f>
        <v>323279.76073170733</v>
      </c>
      <c r="F32" s="511">
        <f>+D32-E32</f>
        <v>8593950.8801005855</v>
      </c>
      <c r="G32" s="512">
        <f t="shared" si="12"/>
        <v>1351983.1109365723</v>
      </c>
      <c r="H32" s="478">
        <f t="shared" si="13"/>
        <v>1351983.1109365723</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0"/>
        <v/>
      </c>
      <c r="C33" s="496">
        <f>IF(D13="","-",+C32+1)</f>
        <v>2029</v>
      </c>
      <c r="D33" s="509">
        <f>IF(F32+SUM(E$17:E32)=D$10,F32,D$10-SUM(E$17:E32))</f>
        <v>8593950.8801005855</v>
      </c>
      <c r="E33" s="510">
        <f>IF(+$I$14&lt;F32,$I$14,D33)</f>
        <v>323279.76073170733</v>
      </c>
      <c r="F33" s="511">
        <f>+D33-E33</f>
        <v>8270671.1193688782</v>
      </c>
      <c r="G33" s="512">
        <f t="shared" si="12"/>
        <v>1314000.6398485312</v>
      </c>
      <c r="H33" s="478">
        <f t="shared" si="13"/>
        <v>1314000.6398485312</v>
      </c>
      <c r="I33" s="501">
        <f>H33-G33</f>
        <v>0</v>
      </c>
      <c r="J33" s="501"/>
      <c r="K33" s="513"/>
      <c r="L33" s="505">
        <f>IF(K33&lt;&gt;0,+G33-K33,0)</f>
        <v>0</v>
      </c>
      <c r="M33" s="513"/>
      <c r="N33" s="505">
        <f>IF(M33&lt;&gt;0,+H33-M33,0)</f>
        <v>0</v>
      </c>
      <c r="O33" s="505">
        <f>+N33-L33</f>
        <v>0</v>
      </c>
      <c r="P33" s="279"/>
      <c r="R33" s="244"/>
      <c r="S33" s="244"/>
      <c r="T33" s="244"/>
      <c r="U33" s="244"/>
    </row>
    <row r="34" spans="2:21" ht="12.5">
      <c r="B34" s="145" t="str">
        <f t="shared" si="0"/>
        <v/>
      </c>
      <c r="C34" s="514">
        <f>IF(D11="","-",+C33+1)</f>
        <v>2030</v>
      </c>
      <c r="D34" s="515">
        <f>IF(F33+SUM(E$17:E33)=D$10,F33,D$10-SUM(E$17:E33))</f>
        <v>8270671.1193688782</v>
      </c>
      <c r="E34" s="516">
        <f t="shared" si="10"/>
        <v>323279.76073170733</v>
      </c>
      <c r="F34" s="517">
        <f t="shared" si="11"/>
        <v>7947391.3586371709</v>
      </c>
      <c r="G34" s="512">
        <f t="shared" si="12"/>
        <v>1276018.1687604906</v>
      </c>
      <c r="H34" s="478">
        <f t="shared" si="13"/>
        <v>1276018.1687604906</v>
      </c>
      <c r="I34" s="520">
        <f t="shared" si="6"/>
        <v>0</v>
      </c>
      <c r="J34" s="520"/>
      <c r="K34" s="521"/>
      <c r="L34" s="522">
        <f t="shared" si="14"/>
        <v>0</v>
      </c>
      <c r="M34" s="521"/>
      <c r="N34" s="522">
        <f t="shared" si="4"/>
        <v>0</v>
      </c>
      <c r="O34" s="522">
        <f t="shared" si="5"/>
        <v>0</v>
      </c>
      <c r="P34" s="523"/>
      <c r="Q34" s="217"/>
      <c r="R34" s="523"/>
      <c r="S34" s="523"/>
      <c r="T34" s="523"/>
      <c r="U34" s="244"/>
    </row>
    <row r="35" spans="2:21" ht="12.5">
      <c r="B35" s="145" t="str">
        <f t="shared" si="0"/>
        <v/>
      </c>
      <c r="C35" s="496">
        <f>IF(D11="","-",+C34+1)</f>
        <v>2031</v>
      </c>
      <c r="D35" s="509">
        <f>IF(F34+SUM(E$17:E34)=D$10,F34,D$10-SUM(E$17:E34))</f>
        <v>7947391.3586371709</v>
      </c>
      <c r="E35" s="510">
        <f t="shared" si="10"/>
        <v>323279.76073170733</v>
      </c>
      <c r="F35" s="511">
        <f t="shared" si="11"/>
        <v>7624111.5979054635</v>
      </c>
      <c r="G35" s="512">
        <f t="shared" si="12"/>
        <v>1238035.6976724495</v>
      </c>
      <c r="H35" s="478">
        <f t="shared" si="13"/>
        <v>1238035.6976724495</v>
      </c>
      <c r="I35" s="501">
        <f t="shared" si="6"/>
        <v>0</v>
      </c>
      <c r="J35" s="501"/>
      <c r="K35" s="513"/>
      <c r="L35" s="505">
        <f t="shared" si="14"/>
        <v>0</v>
      </c>
      <c r="M35" s="513"/>
      <c r="N35" s="505">
        <f t="shared" si="4"/>
        <v>0</v>
      </c>
      <c r="O35" s="505">
        <f t="shared" si="5"/>
        <v>0</v>
      </c>
      <c r="P35" s="279"/>
      <c r="R35" s="244"/>
      <c r="S35" s="244"/>
      <c r="T35" s="244"/>
      <c r="U35" s="244"/>
    </row>
    <row r="36" spans="2:21" ht="12.5">
      <c r="B36" s="145" t="str">
        <f t="shared" si="0"/>
        <v/>
      </c>
      <c r="C36" s="496">
        <f>IF(D11="","-",+C35+1)</f>
        <v>2032</v>
      </c>
      <c r="D36" s="509">
        <f>IF(F35+SUM(E$17:E35)=D$10,F35,D$10-SUM(E$17:E35))</f>
        <v>7624111.5979054635</v>
      </c>
      <c r="E36" s="510">
        <f t="shared" si="10"/>
        <v>323279.76073170733</v>
      </c>
      <c r="F36" s="511">
        <f t="shared" si="11"/>
        <v>7300831.8371737562</v>
      </c>
      <c r="G36" s="512">
        <f t="shared" si="12"/>
        <v>1200053.2265844087</v>
      </c>
      <c r="H36" s="478">
        <f t="shared" si="13"/>
        <v>1200053.2265844087</v>
      </c>
      <c r="I36" s="501">
        <f t="shared" si="6"/>
        <v>0</v>
      </c>
      <c r="J36" s="501"/>
      <c r="K36" s="513"/>
      <c r="L36" s="505">
        <f t="shared" si="14"/>
        <v>0</v>
      </c>
      <c r="M36" s="513"/>
      <c r="N36" s="505">
        <f t="shared" si="4"/>
        <v>0</v>
      </c>
      <c r="O36" s="505">
        <f t="shared" si="5"/>
        <v>0</v>
      </c>
      <c r="P36" s="279"/>
      <c r="R36" s="244"/>
      <c r="S36" s="244"/>
      <c r="T36" s="244"/>
      <c r="U36" s="244"/>
    </row>
    <row r="37" spans="2:21" ht="12.5">
      <c r="B37" s="145" t="str">
        <f t="shared" si="0"/>
        <v/>
      </c>
      <c r="C37" s="496">
        <f>IF(D11="","-",+C36+1)</f>
        <v>2033</v>
      </c>
      <c r="D37" s="509">
        <f>IF(F36+SUM(E$17:E36)=D$10,F36,D$10-SUM(E$17:E36))</f>
        <v>7300831.8371737562</v>
      </c>
      <c r="E37" s="510">
        <f t="shared" si="10"/>
        <v>323279.76073170733</v>
      </c>
      <c r="F37" s="511">
        <f t="shared" si="11"/>
        <v>6977552.0764420489</v>
      </c>
      <c r="G37" s="512">
        <f t="shared" si="12"/>
        <v>1162070.7554963678</v>
      </c>
      <c r="H37" s="478">
        <f t="shared" si="13"/>
        <v>1162070.7554963678</v>
      </c>
      <c r="I37" s="501">
        <f t="shared" si="6"/>
        <v>0</v>
      </c>
      <c r="J37" s="501"/>
      <c r="K37" s="513"/>
      <c r="L37" s="505">
        <f t="shared" si="14"/>
        <v>0</v>
      </c>
      <c r="M37" s="513"/>
      <c r="N37" s="505">
        <f t="shared" si="4"/>
        <v>0</v>
      </c>
      <c r="O37" s="505">
        <f t="shared" si="5"/>
        <v>0</v>
      </c>
      <c r="P37" s="279"/>
      <c r="R37" s="244"/>
      <c r="S37" s="244"/>
      <c r="T37" s="244"/>
      <c r="U37" s="244"/>
    </row>
    <row r="38" spans="2:21" ht="12.5">
      <c r="B38" s="145" t="str">
        <f t="shared" si="0"/>
        <v/>
      </c>
      <c r="C38" s="496">
        <f>IF(D11="","-",+C37+1)</f>
        <v>2034</v>
      </c>
      <c r="D38" s="509">
        <f>IF(F37+SUM(E$17:E37)=D$10,F37,D$10-SUM(E$17:E37))</f>
        <v>6977552.0764420489</v>
      </c>
      <c r="E38" s="510">
        <f t="shared" si="10"/>
        <v>323279.76073170733</v>
      </c>
      <c r="F38" s="511">
        <f t="shared" si="11"/>
        <v>6654272.3157103416</v>
      </c>
      <c r="G38" s="512">
        <f t="shared" si="12"/>
        <v>1124088.284408327</v>
      </c>
      <c r="H38" s="478">
        <f t="shared" si="13"/>
        <v>1124088.284408327</v>
      </c>
      <c r="I38" s="501">
        <f t="shared" si="6"/>
        <v>0</v>
      </c>
      <c r="J38" s="501"/>
      <c r="K38" s="513"/>
      <c r="L38" s="505">
        <f t="shared" si="14"/>
        <v>0</v>
      </c>
      <c r="M38" s="513"/>
      <c r="N38" s="505">
        <f t="shared" si="4"/>
        <v>0</v>
      </c>
      <c r="O38" s="505">
        <f t="shared" si="5"/>
        <v>0</v>
      </c>
      <c r="P38" s="279"/>
      <c r="R38" s="244"/>
      <c r="S38" s="244"/>
      <c r="T38" s="244"/>
      <c r="U38" s="244"/>
    </row>
    <row r="39" spans="2:21" ht="12.5">
      <c r="B39" s="145" t="str">
        <f t="shared" si="0"/>
        <v/>
      </c>
      <c r="C39" s="496">
        <f>IF(D11="","-",+C38+1)</f>
        <v>2035</v>
      </c>
      <c r="D39" s="509">
        <f>IF(F38+SUM(E$17:E38)=D$10,F38,D$10-SUM(E$17:E38))</f>
        <v>6654272.3157103416</v>
      </c>
      <c r="E39" s="510">
        <f t="shared" si="10"/>
        <v>323279.76073170733</v>
      </c>
      <c r="F39" s="511">
        <f t="shared" si="11"/>
        <v>6330992.5549786342</v>
      </c>
      <c r="G39" s="512">
        <f t="shared" si="12"/>
        <v>1086105.8133202859</v>
      </c>
      <c r="H39" s="478">
        <f t="shared" si="13"/>
        <v>1086105.8133202859</v>
      </c>
      <c r="I39" s="501">
        <f t="shared" si="6"/>
        <v>0</v>
      </c>
      <c r="J39" s="501"/>
      <c r="K39" s="513"/>
      <c r="L39" s="505">
        <f t="shared" si="14"/>
        <v>0</v>
      </c>
      <c r="M39" s="513"/>
      <c r="N39" s="505">
        <f t="shared" si="4"/>
        <v>0</v>
      </c>
      <c r="O39" s="505">
        <f t="shared" si="5"/>
        <v>0</v>
      </c>
      <c r="P39" s="279"/>
      <c r="R39" s="244"/>
      <c r="S39" s="244"/>
      <c r="T39" s="244"/>
      <c r="U39" s="244"/>
    </row>
    <row r="40" spans="2:21" ht="12.5">
      <c r="B40" s="145" t="str">
        <f t="shared" si="0"/>
        <v/>
      </c>
      <c r="C40" s="496">
        <f>IF(D11="","-",+C39+1)</f>
        <v>2036</v>
      </c>
      <c r="D40" s="509">
        <f>IF(F39+SUM(E$17:E39)=D$10,F39,D$10-SUM(E$17:E39))</f>
        <v>6330992.5549786342</v>
      </c>
      <c r="E40" s="510">
        <f t="shared" si="10"/>
        <v>323279.76073170733</v>
      </c>
      <c r="F40" s="511">
        <f t="shared" si="11"/>
        <v>6007712.7942469269</v>
      </c>
      <c r="G40" s="512">
        <f t="shared" si="12"/>
        <v>1048123.3422322451</v>
      </c>
      <c r="H40" s="478">
        <f t="shared" si="13"/>
        <v>1048123.3422322451</v>
      </c>
      <c r="I40" s="501">
        <f t="shared" si="6"/>
        <v>0</v>
      </c>
      <c r="J40" s="501"/>
      <c r="K40" s="513"/>
      <c r="L40" s="505">
        <f t="shared" si="14"/>
        <v>0</v>
      </c>
      <c r="M40" s="513"/>
      <c r="N40" s="505">
        <f t="shared" si="4"/>
        <v>0</v>
      </c>
      <c r="O40" s="505">
        <f t="shared" si="5"/>
        <v>0</v>
      </c>
      <c r="P40" s="279"/>
      <c r="R40" s="244"/>
      <c r="S40" s="244"/>
      <c r="T40" s="244"/>
      <c r="U40" s="244"/>
    </row>
    <row r="41" spans="2:21" ht="12.5">
      <c r="B41" s="145" t="str">
        <f t="shared" si="0"/>
        <v/>
      </c>
      <c r="C41" s="496">
        <f>IF(D12="","-",+C40+1)</f>
        <v>2037</v>
      </c>
      <c r="D41" s="509">
        <f>IF(F40+SUM(E$17:E40)=D$10,F40,D$10-SUM(E$17:E40))</f>
        <v>6007712.7942469269</v>
      </c>
      <c r="E41" s="510">
        <f t="shared" si="10"/>
        <v>323279.76073170733</v>
      </c>
      <c r="F41" s="511">
        <f t="shared" si="11"/>
        <v>5684433.0335152196</v>
      </c>
      <c r="G41" s="512">
        <f t="shared" si="12"/>
        <v>1010140.8711442042</v>
      </c>
      <c r="H41" s="478">
        <f t="shared" si="13"/>
        <v>1010140.8711442042</v>
      </c>
      <c r="I41" s="501">
        <f t="shared" si="6"/>
        <v>0</v>
      </c>
      <c r="J41" s="501"/>
      <c r="K41" s="513"/>
      <c r="L41" s="505">
        <f t="shared" si="14"/>
        <v>0</v>
      </c>
      <c r="M41" s="513"/>
      <c r="N41" s="505">
        <f t="shared" si="4"/>
        <v>0</v>
      </c>
      <c r="O41" s="505">
        <f t="shared" si="5"/>
        <v>0</v>
      </c>
      <c r="P41" s="279"/>
      <c r="R41" s="244"/>
      <c r="S41" s="244"/>
      <c r="T41" s="244"/>
      <c r="U41" s="244"/>
    </row>
    <row r="42" spans="2:21" ht="12.5">
      <c r="B42" s="145" t="str">
        <f t="shared" si="0"/>
        <v/>
      </c>
      <c r="C42" s="496">
        <f>IF(D13="","-",+C41+1)</f>
        <v>2038</v>
      </c>
      <c r="D42" s="509">
        <f>IF(F41+SUM(E$17:E41)=D$10,F41,D$10-SUM(E$17:E41))</f>
        <v>5684433.0335152196</v>
      </c>
      <c r="E42" s="510">
        <f t="shared" si="10"/>
        <v>323279.76073170733</v>
      </c>
      <c r="F42" s="511">
        <f t="shared" si="11"/>
        <v>5361153.2727835122</v>
      </c>
      <c r="G42" s="512">
        <f t="shared" si="12"/>
        <v>972158.40005616343</v>
      </c>
      <c r="H42" s="478">
        <f t="shared" si="13"/>
        <v>972158.40005616343</v>
      </c>
      <c r="I42" s="501">
        <f t="shared" si="6"/>
        <v>0</v>
      </c>
      <c r="J42" s="501"/>
      <c r="K42" s="513"/>
      <c r="L42" s="505">
        <f t="shared" si="14"/>
        <v>0</v>
      </c>
      <c r="M42" s="513"/>
      <c r="N42" s="505">
        <f t="shared" si="4"/>
        <v>0</v>
      </c>
      <c r="O42" s="505">
        <f t="shared" si="5"/>
        <v>0</v>
      </c>
      <c r="P42" s="279"/>
      <c r="R42" s="244"/>
      <c r="S42" s="244"/>
      <c r="T42" s="244"/>
      <c r="U42" s="244"/>
    </row>
    <row r="43" spans="2:21" ht="12.5">
      <c r="B43" s="145" t="str">
        <f t="shared" si="0"/>
        <v/>
      </c>
      <c r="C43" s="496">
        <f>IF(D11="","-",+C42+1)</f>
        <v>2039</v>
      </c>
      <c r="D43" s="509">
        <f>IF(F42+SUM(E$17:E42)=D$10,F42,D$10-SUM(E$17:E42))</f>
        <v>5361153.2727835122</v>
      </c>
      <c r="E43" s="510">
        <f t="shared" si="10"/>
        <v>323279.76073170733</v>
      </c>
      <c r="F43" s="511">
        <f t="shared" si="11"/>
        <v>5037873.5120518049</v>
      </c>
      <c r="G43" s="512">
        <f t="shared" si="12"/>
        <v>934175.92896812235</v>
      </c>
      <c r="H43" s="478">
        <f t="shared" si="13"/>
        <v>934175.92896812235</v>
      </c>
      <c r="I43" s="501">
        <f t="shared" si="6"/>
        <v>0</v>
      </c>
      <c r="J43" s="501"/>
      <c r="K43" s="513"/>
      <c r="L43" s="505">
        <f t="shared" si="14"/>
        <v>0</v>
      </c>
      <c r="M43" s="513"/>
      <c r="N43" s="505">
        <f t="shared" si="4"/>
        <v>0</v>
      </c>
      <c r="O43" s="505">
        <f t="shared" si="5"/>
        <v>0</v>
      </c>
      <c r="P43" s="279"/>
      <c r="R43" s="244"/>
      <c r="S43" s="244"/>
      <c r="T43" s="244"/>
      <c r="U43" s="244"/>
    </row>
    <row r="44" spans="2:21" ht="12.5">
      <c r="B44" s="145" t="str">
        <f t="shared" si="0"/>
        <v/>
      </c>
      <c r="C44" s="496">
        <f>IF(D11="","-",+C43+1)</f>
        <v>2040</v>
      </c>
      <c r="D44" s="509">
        <f>IF(F43+SUM(E$17:E43)=D$10,F43,D$10-SUM(E$17:E43))</f>
        <v>5037873.5120518049</v>
      </c>
      <c r="E44" s="510">
        <f t="shared" si="10"/>
        <v>323279.76073170733</v>
      </c>
      <c r="F44" s="511">
        <f t="shared" si="11"/>
        <v>4714593.7513200976</v>
      </c>
      <c r="G44" s="512">
        <f t="shared" si="12"/>
        <v>896193.45788008161</v>
      </c>
      <c r="H44" s="478">
        <f t="shared" si="13"/>
        <v>896193.45788008161</v>
      </c>
      <c r="I44" s="501">
        <f t="shared" si="6"/>
        <v>0</v>
      </c>
      <c r="J44" s="501"/>
      <c r="K44" s="513"/>
      <c r="L44" s="505">
        <f t="shared" si="14"/>
        <v>0</v>
      </c>
      <c r="M44" s="513"/>
      <c r="N44" s="505">
        <f t="shared" si="4"/>
        <v>0</v>
      </c>
      <c r="O44" s="505">
        <f t="shared" si="5"/>
        <v>0</v>
      </c>
      <c r="P44" s="279"/>
      <c r="R44" s="244"/>
      <c r="S44" s="244"/>
      <c r="T44" s="244"/>
      <c r="U44" s="244"/>
    </row>
    <row r="45" spans="2:21" ht="12.5">
      <c r="B45" s="145" t="str">
        <f t="shared" si="0"/>
        <v/>
      </c>
      <c r="C45" s="496">
        <f>IF(D11="","-",+C44+1)</f>
        <v>2041</v>
      </c>
      <c r="D45" s="509">
        <f>IF(F44+SUM(E$17:E44)=D$10,F44,D$10-SUM(E$17:E44))</f>
        <v>4714593.7513200976</v>
      </c>
      <c r="E45" s="510">
        <f t="shared" si="10"/>
        <v>323279.76073170733</v>
      </c>
      <c r="F45" s="511">
        <f t="shared" si="11"/>
        <v>4391313.9905883903</v>
      </c>
      <c r="G45" s="512">
        <f t="shared" si="12"/>
        <v>858210.98679204064</v>
      </c>
      <c r="H45" s="478">
        <f t="shared" si="13"/>
        <v>858210.98679204064</v>
      </c>
      <c r="I45" s="501">
        <f t="shared" si="6"/>
        <v>0</v>
      </c>
      <c r="J45" s="501"/>
      <c r="K45" s="513"/>
      <c r="L45" s="505">
        <f t="shared" si="14"/>
        <v>0</v>
      </c>
      <c r="M45" s="513"/>
      <c r="N45" s="505">
        <f t="shared" si="4"/>
        <v>0</v>
      </c>
      <c r="O45" s="505">
        <f t="shared" si="5"/>
        <v>0</v>
      </c>
      <c r="P45" s="279"/>
      <c r="R45" s="244"/>
      <c r="S45" s="244"/>
      <c r="T45" s="244"/>
      <c r="U45" s="244"/>
    </row>
    <row r="46" spans="2:21" ht="12.5">
      <c r="B46" s="145" t="str">
        <f t="shared" si="0"/>
        <v/>
      </c>
      <c r="C46" s="496">
        <f>IF(D11="","-",+C45+1)</f>
        <v>2042</v>
      </c>
      <c r="D46" s="509">
        <f>IF(F45+SUM(E$17:E45)=D$10,F45,D$10-SUM(E$17:E45))</f>
        <v>4391313.9905883903</v>
      </c>
      <c r="E46" s="510">
        <f t="shared" si="10"/>
        <v>323279.76073170733</v>
      </c>
      <c r="F46" s="511">
        <f t="shared" si="11"/>
        <v>4068034.2298566829</v>
      </c>
      <c r="G46" s="512">
        <f t="shared" si="12"/>
        <v>820228.5157039999</v>
      </c>
      <c r="H46" s="478">
        <f t="shared" si="13"/>
        <v>820228.5157039999</v>
      </c>
      <c r="I46" s="501">
        <f t="shared" si="6"/>
        <v>0</v>
      </c>
      <c r="J46" s="501"/>
      <c r="K46" s="513"/>
      <c r="L46" s="505">
        <f t="shared" si="14"/>
        <v>0</v>
      </c>
      <c r="M46" s="513"/>
      <c r="N46" s="505">
        <f t="shared" si="4"/>
        <v>0</v>
      </c>
      <c r="O46" s="505">
        <f t="shared" si="5"/>
        <v>0</v>
      </c>
      <c r="P46" s="279"/>
      <c r="R46" s="244"/>
      <c r="S46" s="244"/>
      <c r="T46" s="244"/>
      <c r="U46" s="244"/>
    </row>
    <row r="47" spans="2:21" ht="12.5">
      <c r="B47" s="145" t="str">
        <f t="shared" si="0"/>
        <v/>
      </c>
      <c r="C47" s="496">
        <f>IF(D11="","-",+C46+1)</f>
        <v>2043</v>
      </c>
      <c r="D47" s="509">
        <f>IF(F46+SUM(E$17:E46)=D$10,F46,D$10-SUM(E$17:E46))</f>
        <v>4068034.2298566829</v>
      </c>
      <c r="E47" s="510">
        <f t="shared" si="10"/>
        <v>323279.76073170733</v>
      </c>
      <c r="F47" s="511">
        <f t="shared" si="11"/>
        <v>3744754.4691249756</v>
      </c>
      <c r="G47" s="512">
        <f t="shared" si="12"/>
        <v>782246.04461595882</v>
      </c>
      <c r="H47" s="478">
        <f t="shared" si="13"/>
        <v>782246.04461595882</v>
      </c>
      <c r="I47" s="501">
        <f t="shared" si="6"/>
        <v>0</v>
      </c>
      <c r="J47" s="501"/>
      <c r="K47" s="513"/>
      <c r="L47" s="505">
        <f t="shared" si="14"/>
        <v>0</v>
      </c>
      <c r="M47" s="513"/>
      <c r="N47" s="505">
        <f t="shared" si="4"/>
        <v>0</v>
      </c>
      <c r="O47" s="505">
        <f t="shared" si="5"/>
        <v>0</v>
      </c>
      <c r="P47" s="279"/>
      <c r="R47" s="244"/>
      <c r="S47" s="244"/>
      <c r="T47" s="244"/>
      <c r="U47" s="244"/>
    </row>
    <row r="48" spans="2:21" ht="12.5">
      <c r="B48" s="145" t="str">
        <f t="shared" si="0"/>
        <v/>
      </c>
      <c r="C48" s="496">
        <f>IF(D11="","-",+C47+1)</f>
        <v>2044</v>
      </c>
      <c r="D48" s="509">
        <f>IF(F47+SUM(E$17:E47)=D$10,F47,D$10-SUM(E$17:E47))</f>
        <v>3744754.4691249756</v>
      </c>
      <c r="E48" s="510">
        <f t="shared" si="10"/>
        <v>323279.76073170733</v>
      </c>
      <c r="F48" s="511">
        <f t="shared" si="11"/>
        <v>3421474.7083932683</v>
      </c>
      <c r="G48" s="512">
        <f t="shared" si="12"/>
        <v>744263.57352791796</v>
      </c>
      <c r="H48" s="478">
        <f t="shared" si="13"/>
        <v>744263.57352791796</v>
      </c>
      <c r="I48" s="501">
        <f t="shared" si="6"/>
        <v>0</v>
      </c>
      <c r="J48" s="501"/>
      <c r="K48" s="513"/>
      <c r="L48" s="505">
        <f t="shared" si="14"/>
        <v>0</v>
      </c>
      <c r="M48" s="513"/>
      <c r="N48" s="505">
        <f t="shared" si="4"/>
        <v>0</v>
      </c>
      <c r="O48" s="505">
        <f t="shared" si="5"/>
        <v>0</v>
      </c>
      <c r="P48" s="279"/>
      <c r="R48" s="244"/>
      <c r="S48" s="244"/>
      <c r="T48" s="244"/>
      <c r="U48" s="244"/>
    </row>
    <row r="49" spans="2:21" ht="12.5">
      <c r="B49" s="145" t="str">
        <f t="shared" si="0"/>
        <v/>
      </c>
      <c r="C49" s="496">
        <f>IF(D11="","-",+C48+1)</f>
        <v>2045</v>
      </c>
      <c r="D49" s="509">
        <f>IF(F48+SUM(E$17:E48)=D$10,F48,D$10-SUM(E$17:E48))</f>
        <v>3421474.7083932683</v>
      </c>
      <c r="E49" s="510">
        <f t="shared" si="10"/>
        <v>323279.76073170733</v>
      </c>
      <c r="F49" s="511">
        <f t="shared" si="11"/>
        <v>3098194.947661561</v>
      </c>
      <c r="G49" s="512">
        <f t="shared" si="12"/>
        <v>706281.10243987711</v>
      </c>
      <c r="H49" s="478">
        <f t="shared" si="13"/>
        <v>706281.10243987711</v>
      </c>
      <c r="I49" s="501">
        <f t="shared" si="6"/>
        <v>0</v>
      </c>
      <c r="J49" s="501"/>
      <c r="K49" s="513"/>
      <c r="L49" s="505">
        <f t="shared" si="14"/>
        <v>0</v>
      </c>
      <c r="M49" s="513"/>
      <c r="N49" s="505">
        <f t="shared" si="4"/>
        <v>0</v>
      </c>
      <c r="O49" s="505">
        <f t="shared" si="5"/>
        <v>0</v>
      </c>
      <c r="P49" s="279"/>
      <c r="R49" s="244"/>
      <c r="S49" s="244"/>
      <c r="T49" s="244"/>
      <c r="U49" s="244"/>
    </row>
    <row r="50" spans="2:21" ht="12.5">
      <c r="B50" s="145" t="str">
        <f t="shared" si="0"/>
        <v/>
      </c>
      <c r="C50" s="496">
        <f>IF(D11="","-",+C49+1)</f>
        <v>2046</v>
      </c>
      <c r="D50" s="509">
        <f>IF(F49+SUM(E$17:E49)=D$10,F49,D$10-SUM(E$17:E49))</f>
        <v>3098194.947661561</v>
      </c>
      <c r="E50" s="510">
        <f t="shared" si="10"/>
        <v>323279.76073170733</v>
      </c>
      <c r="F50" s="511">
        <f t="shared" si="11"/>
        <v>2774915.1869298536</v>
      </c>
      <c r="G50" s="512">
        <f t="shared" si="12"/>
        <v>668298.63135183626</v>
      </c>
      <c r="H50" s="478">
        <f t="shared" si="13"/>
        <v>668298.63135183626</v>
      </c>
      <c r="I50" s="501">
        <f t="shared" si="6"/>
        <v>0</v>
      </c>
      <c r="J50" s="501"/>
      <c r="K50" s="513"/>
      <c r="L50" s="505">
        <f t="shared" si="14"/>
        <v>0</v>
      </c>
      <c r="M50" s="513"/>
      <c r="N50" s="505">
        <f t="shared" si="4"/>
        <v>0</v>
      </c>
      <c r="O50" s="505">
        <f t="shared" si="5"/>
        <v>0</v>
      </c>
      <c r="P50" s="279"/>
      <c r="R50" s="244"/>
      <c r="S50" s="244"/>
      <c r="T50" s="244"/>
      <c r="U50" s="244"/>
    </row>
    <row r="51" spans="2:21" ht="12.5">
      <c r="B51" s="145" t="str">
        <f t="shared" si="0"/>
        <v/>
      </c>
      <c r="C51" s="496">
        <f>IF(D11="","-",+C50+1)</f>
        <v>2047</v>
      </c>
      <c r="D51" s="509">
        <f>IF(F50+SUM(E$17:E50)=D$10,F50,D$10-SUM(E$17:E50))</f>
        <v>2774915.1869298536</v>
      </c>
      <c r="E51" s="510">
        <f t="shared" si="10"/>
        <v>323279.76073170733</v>
      </c>
      <c r="F51" s="511">
        <f t="shared" si="11"/>
        <v>2451635.4261981463</v>
      </c>
      <c r="G51" s="512">
        <f t="shared" si="12"/>
        <v>630316.16026379541</v>
      </c>
      <c r="H51" s="478">
        <f t="shared" si="13"/>
        <v>630316.16026379541</v>
      </c>
      <c r="I51" s="501">
        <f t="shared" si="6"/>
        <v>0</v>
      </c>
      <c r="J51" s="501"/>
      <c r="K51" s="513"/>
      <c r="L51" s="505">
        <f t="shared" si="14"/>
        <v>0</v>
      </c>
      <c r="M51" s="513"/>
      <c r="N51" s="505">
        <f t="shared" si="4"/>
        <v>0</v>
      </c>
      <c r="O51" s="505">
        <f t="shared" si="5"/>
        <v>0</v>
      </c>
      <c r="P51" s="279"/>
      <c r="R51" s="244"/>
      <c r="S51" s="244"/>
      <c r="T51" s="244"/>
      <c r="U51" s="244"/>
    </row>
    <row r="52" spans="2:21" ht="12.5">
      <c r="B52" s="145" t="str">
        <f t="shared" si="0"/>
        <v/>
      </c>
      <c r="C52" s="496">
        <f>IF(D11="","-",+C51+1)</f>
        <v>2048</v>
      </c>
      <c r="D52" s="509">
        <f>IF(F51+SUM(E$17:E51)=D$10,F51,D$10-SUM(E$17:E51))</f>
        <v>2451635.4261981463</v>
      </c>
      <c r="E52" s="510">
        <f t="shared" si="10"/>
        <v>323279.76073170733</v>
      </c>
      <c r="F52" s="511">
        <f t="shared" si="11"/>
        <v>2128355.665466439</v>
      </c>
      <c r="G52" s="512">
        <f t="shared" si="12"/>
        <v>592333.68917575444</v>
      </c>
      <c r="H52" s="478">
        <f t="shared" si="13"/>
        <v>592333.68917575444</v>
      </c>
      <c r="I52" s="501">
        <f t="shared" si="6"/>
        <v>0</v>
      </c>
      <c r="J52" s="501"/>
      <c r="K52" s="513"/>
      <c r="L52" s="505">
        <f t="shared" si="14"/>
        <v>0</v>
      </c>
      <c r="M52" s="513"/>
      <c r="N52" s="505">
        <f t="shared" si="4"/>
        <v>0</v>
      </c>
      <c r="O52" s="505">
        <f t="shared" si="5"/>
        <v>0</v>
      </c>
      <c r="P52" s="279"/>
      <c r="R52" s="244"/>
      <c r="S52" s="244"/>
      <c r="T52" s="244"/>
      <c r="U52" s="244"/>
    </row>
    <row r="53" spans="2:21" ht="12.5">
      <c r="B53" s="145" t="str">
        <f t="shared" si="0"/>
        <v/>
      </c>
      <c r="C53" s="496">
        <f>IF(D11="","-",+C52+1)</f>
        <v>2049</v>
      </c>
      <c r="D53" s="509">
        <f>IF(F52+SUM(E$17:E52)=D$10,F52,D$10-SUM(E$17:E52))</f>
        <v>2128355.665466439</v>
      </c>
      <c r="E53" s="510">
        <f t="shared" si="10"/>
        <v>323279.76073170733</v>
      </c>
      <c r="F53" s="511">
        <f t="shared" si="11"/>
        <v>1805075.9047347317</v>
      </c>
      <c r="G53" s="512">
        <f t="shared" si="12"/>
        <v>554351.21808771358</v>
      </c>
      <c r="H53" s="478">
        <f t="shared" si="13"/>
        <v>554351.21808771358</v>
      </c>
      <c r="I53" s="501">
        <f t="shared" si="6"/>
        <v>0</v>
      </c>
      <c r="J53" s="501"/>
      <c r="K53" s="513"/>
      <c r="L53" s="505">
        <f t="shared" si="14"/>
        <v>0</v>
      </c>
      <c r="M53" s="513"/>
      <c r="N53" s="505">
        <f t="shared" si="4"/>
        <v>0</v>
      </c>
      <c r="O53" s="505">
        <f t="shared" si="5"/>
        <v>0</v>
      </c>
      <c r="P53" s="279"/>
      <c r="R53" s="244"/>
      <c r="S53" s="244"/>
      <c r="T53" s="244"/>
      <c r="U53" s="244"/>
    </row>
    <row r="54" spans="2:21" ht="12.5">
      <c r="B54" s="145" t="str">
        <f t="shared" si="0"/>
        <v/>
      </c>
      <c r="C54" s="496">
        <f>IF(D11="","-",+C53+1)</f>
        <v>2050</v>
      </c>
      <c r="D54" s="509">
        <f>IF(F53+SUM(E$17:E53)=D$10,F53,D$10-SUM(E$17:E53))</f>
        <v>1805075.9047347317</v>
      </c>
      <c r="E54" s="510">
        <f t="shared" si="10"/>
        <v>323279.76073170733</v>
      </c>
      <c r="F54" s="511">
        <f t="shared" si="11"/>
        <v>1481796.1440030243</v>
      </c>
      <c r="G54" s="512">
        <f t="shared" si="12"/>
        <v>516368.74699967273</v>
      </c>
      <c r="H54" s="478">
        <f t="shared" si="13"/>
        <v>516368.74699967273</v>
      </c>
      <c r="I54" s="501">
        <f t="shared" si="6"/>
        <v>0</v>
      </c>
      <c r="J54" s="501"/>
      <c r="K54" s="513"/>
      <c r="L54" s="505">
        <f t="shared" si="14"/>
        <v>0</v>
      </c>
      <c r="M54" s="513"/>
      <c r="N54" s="505">
        <f t="shared" si="4"/>
        <v>0</v>
      </c>
      <c r="O54" s="505">
        <f t="shared" si="5"/>
        <v>0</v>
      </c>
      <c r="P54" s="279"/>
      <c r="R54" s="244"/>
      <c r="S54" s="244"/>
      <c r="T54" s="244"/>
      <c r="U54" s="244"/>
    </row>
    <row r="55" spans="2:21" ht="12.5">
      <c r="B55" s="145" t="str">
        <f t="shared" si="0"/>
        <v/>
      </c>
      <c r="C55" s="496">
        <f>IF(D11="","-",+C54+1)</f>
        <v>2051</v>
      </c>
      <c r="D55" s="509">
        <f>IF(F54+SUM(E$17:E54)=D$10,F54,D$10-SUM(E$17:E54))</f>
        <v>1481796.1440030243</v>
      </c>
      <c r="E55" s="510">
        <f t="shared" si="10"/>
        <v>323279.76073170733</v>
      </c>
      <c r="F55" s="511">
        <f t="shared" si="11"/>
        <v>1158516.383271317</v>
      </c>
      <c r="G55" s="512">
        <f t="shared" si="12"/>
        <v>478386.27591163182</v>
      </c>
      <c r="H55" s="478">
        <f t="shared" si="13"/>
        <v>478386.27591163182</v>
      </c>
      <c r="I55" s="501">
        <f t="shared" si="6"/>
        <v>0</v>
      </c>
      <c r="J55" s="501"/>
      <c r="K55" s="513"/>
      <c r="L55" s="505">
        <f t="shared" si="14"/>
        <v>0</v>
      </c>
      <c r="M55" s="513"/>
      <c r="N55" s="505">
        <f t="shared" si="4"/>
        <v>0</v>
      </c>
      <c r="O55" s="505">
        <f t="shared" si="5"/>
        <v>0</v>
      </c>
      <c r="P55" s="279"/>
      <c r="R55" s="244"/>
      <c r="S55" s="244"/>
      <c r="T55" s="244"/>
      <c r="U55" s="244"/>
    </row>
    <row r="56" spans="2:21" ht="12.5">
      <c r="B56" s="145" t="str">
        <f t="shared" si="0"/>
        <v/>
      </c>
      <c r="C56" s="496">
        <f>IF(D11="","-",+C55+1)</f>
        <v>2052</v>
      </c>
      <c r="D56" s="509">
        <f>IF(F55+SUM(E$17:E55)=D$10,F55,D$10-SUM(E$17:E55))</f>
        <v>1158516.383271317</v>
      </c>
      <c r="E56" s="510">
        <f t="shared" si="10"/>
        <v>323279.76073170733</v>
      </c>
      <c r="F56" s="511">
        <f t="shared" si="11"/>
        <v>835236.62253960967</v>
      </c>
      <c r="G56" s="512">
        <f t="shared" si="12"/>
        <v>440403.80482359091</v>
      </c>
      <c r="H56" s="478">
        <f t="shared" si="13"/>
        <v>440403.80482359091</v>
      </c>
      <c r="I56" s="501">
        <f t="shared" si="6"/>
        <v>0</v>
      </c>
      <c r="J56" s="501"/>
      <c r="K56" s="513"/>
      <c r="L56" s="505">
        <f t="shared" si="14"/>
        <v>0</v>
      </c>
      <c r="M56" s="513"/>
      <c r="N56" s="505">
        <f t="shared" si="4"/>
        <v>0</v>
      </c>
      <c r="O56" s="505">
        <f t="shared" si="5"/>
        <v>0</v>
      </c>
      <c r="P56" s="279"/>
      <c r="R56" s="244"/>
      <c r="S56" s="244"/>
      <c r="T56" s="244"/>
      <c r="U56" s="244"/>
    </row>
    <row r="57" spans="2:21" ht="12.5">
      <c r="B57" s="145" t="str">
        <f t="shared" si="0"/>
        <v/>
      </c>
      <c r="C57" s="496">
        <f>IF(D11="","-",+C56+1)</f>
        <v>2053</v>
      </c>
      <c r="D57" s="509">
        <f>IF(F56+SUM(E$17:E56)=D$10,F56,D$10-SUM(E$17:E56))</f>
        <v>835236.62253960967</v>
      </c>
      <c r="E57" s="510">
        <f t="shared" si="10"/>
        <v>323279.76073170733</v>
      </c>
      <c r="F57" s="511">
        <f t="shared" si="11"/>
        <v>511956.86180790234</v>
      </c>
      <c r="G57" s="512">
        <f t="shared" si="12"/>
        <v>402421.33373555006</v>
      </c>
      <c r="H57" s="478">
        <f t="shared" si="13"/>
        <v>402421.33373555006</v>
      </c>
      <c r="I57" s="501">
        <f t="shared" si="6"/>
        <v>0</v>
      </c>
      <c r="J57" s="501"/>
      <c r="K57" s="513"/>
      <c r="L57" s="505">
        <f t="shared" si="14"/>
        <v>0</v>
      </c>
      <c r="M57" s="513"/>
      <c r="N57" s="505">
        <f t="shared" si="4"/>
        <v>0</v>
      </c>
      <c r="O57" s="505">
        <f t="shared" si="5"/>
        <v>0</v>
      </c>
      <c r="P57" s="279"/>
      <c r="R57" s="244"/>
      <c r="S57" s="244"/>
      <c r="T57" s="244"/>
      <c r="U57" s="244"/>
    </row>
    <row r="58" spans="2:21" ht="12.5">
      <c r="B58" s="145" t="str">
        <f t="shared" si="0"/>
        <v/>
      </c>
      <c r="C58" s="496">
        <f>IF(D11="","-",+C57+1)</f>
        <v>2054</v>
      </c>
      <c r="D58" s="509">
        <f>IF(F57+SUM(E$17:E57)=D$10,F57,D$10-SUM(E$17:E57))</f>
        <v>511956.86180790234</v>
      </c>
      <c r="E58" s="510">
        <f t="shared" si="10"/>
        <v>323279.76073170733</v>
      </c>
      <c r="F58" s="511">
        <f t="shared" si="11"/>
        <v>188677.10107619502</v>
      </c>
      <c r="G58" s="512">
        <f t="shared" si="12"/>
        <v>364438.86264750914</v>
      </c>
      <c r="H58" s="478">
        <f t="shared" si="13"/>
        <v>364438.86264750914</v>
      </c>
      <c r="I58" s="501">
        <f t="shared" si="6"/>
        <v>0</v>
      </c>
      <c r="J58" s="501"/>
      <c r="K58" s="513"/>
      <c r="L58" s="505">
        <f t="shared" si="14"/>
        <v>0</v>
      </c>
      <c r="M58" s="513"/>
      <c r="N58" s="505">
        <f t="shared" si="4"/>
        <v>0</v>
      </c>
      <c r="O58" s="505">
        <f t="shared" si="5"/>
        <v>0</v>
      </c>
      <c r="P58" s="279"/>
      <c r="R58" s="244"/>
      <c r="S58" s="244"/>
      <c r="T58" s="244"/>
      <c r="U58" s="244"/>
    </row>
    <row r="59" spans="2:21" ht="12.5">
      <c r="B59" s="145" t="str">
        <f t="shared" si="0"/>
        <v/>
      </c>
      <c r="C59" s="496">
        <f>IF(D11="","-",+C58+1)</f>
        <v>2055</v>
      </c>
      <c r="D59" s="509">
        <f>IF(F58+SUM(E$17:E58)=D$10,F58,D$10-SUM(E$17:E58))</f>
        <v>188677.10107619502</v>
      </c>
      <c r="E59" s="510">
        <f t="shared" si="10"/>
        <v>188677.10107619502</v>
      </c>
      <c r="F59" s="511">
        <f t="shared" si="11"/>
        <v>0</v>
      </c>
      <c r="G59" s="512">
        <f t="shared" si="12"/>
        <v>199761.03426208571</v>
      </c>
      <c r="H59" s="478">
        <f t="shared" si="13"/>
        <v>199761.03426208571</v>
      </c>
      <c r="I59" s="501">
        <f t="shared" si="6"/>
        <v>0</v>
      </c>
      <c r="J59" s="501"/>
      <c r="K59" s="513"/>
      <c r="L59" s="505">
        <f t="shared" si="14"/>
        <v>0</v>
      </c>
      <c r="M59" s="513"/>
      <c r="N59" s="505">
        <f t="shared" si="4"/>
        <v>0</v>
      </c>
      <c r="O59" s="505">
        <f t="shared" si="5"/>
        <v>0</v>
      </c>
      <c r="P59" s="279"/>
      <c r="R59" s="244"/>
      <c r="S59" s="244"/>
      <c r="T59" s="244"/>
      <c r="U59" s="244"/>
    </row>
    <row r="60" spans="2:21" ht="12.5">
      <c r="B60" s="145" t="str">
        <f t="shared" si="0"/>
        <v/>
      </c>
      <c r="C60" s="496">
        <f>IF(D11="","-",+C59+1)</f>
        <v>2056</v>
      </c>
      <c r="D60" s="509">
        <f>IF(F59+SUM(E$17:E59)=D$10,F59,D$10-SUM(E$17:E59))</f>
        <v>0</v>
      </c>
      <c r="E60" s="510">
        <f t="shared" si="10"/>
        <v>0</v>
      </c>
      <c r="F60" s="511">
        <f t="shared" si="11"/>
        <v>0</v>
      </c>
      <c r="G60" s="512">
        <f t="shared" si="12"/>
        <v>0</v>
      </c>
      <c r="H60" s="478">
        <f t="shared" si="13"/>
        <v>0</v>
      </c>
      <c r="I60" s="501">
        <f t="shared" si="6"/>
        <v>0</v>
      </c>
      <c r="J60" s="501"/>
      <c r="K60" s="513"/>
      <c r="L60" s="505">
        <f t="shared" si="14"/>
        <v>0</v>
      </c>
      <c r="M60" s="513"/>
      <c r="N60" s="505">
        <f t="shared" si="4"/>
        <v>0</v>
      </c>
      <c r="O60" s="505">
        <f t="shared" si="5"/>
        <v>0</v>
      </c>
      <c r="P60" s="279"/>
      <c r="R60" s="244"/>
      <c r="S60" s="244"/>
      <c r="T60" s="244"/>
      <c r="U60" s="244"/>
    </row>
    <row r="61" spans="2:21" ht="12.5">
      <c r="B61" s="145" t="str">
        <f t="shared" si="0"/>
        <v/>
      </c>
      <c r="C61" s="496">
        <f>IF(D11="","-",+C60+1)</f>
        <v>2057</v>
      </c>
      <c r="D61" s="509">
        <f>IF(F60+SUM(E$17:E60)=D$10,F60,D$10-SUM(E$17:E60))</f>
        <v>0</v>
      </c>
      <c r="E61" s="510">
        <f t="shared" si="10"/>
        <v>0</v>
      </c>
      <c r="F61" s="511">
        <f t="shared" si="11"/>
        <v>0</v>
      </c>
      <c r="G61" s="512">
        <f t="shared" si="12"/>
        <v>0</v>
      </c>
      <c r="H61" s="478">
        <f t="shared" si="13"/>
        <v>0</v>
      </c>
      <c r="I61" s="501">
        <f t="shared" si="6"/>
        <v>0</v>
      </c>
      <c r="J61" s="501"/>
      <c r="K61" s="513"/>
      <c r="L61" s="505">
        <f t="shared" si="14"/>
        <v>0</v>
      </c>
      <c r="M61" s="513"/>
      <c r="N61" s="505">
        <f t="shared" si="4"/>
        <v>0</v>
      </c>
      <c r="O61" s="505">
        <f t="shared" si="5"/>
        <v>0</v>
      </c>
      <c r="P61" s="279"/>
      <c r="R61" s="244"/>
      <c r="S61" s="244"/>
      <c r="T61" s="244"/>
      <c r="U61" s="244"/>
    </row>
    <row r="62" spans="2:21" ht="12.5">
      <c r="B62" s="145" t="str">
        <f t="shared" si="0"/>
        <v/>
      </c>
      <c r="C62" s="496">
        <f>IF(D11="","-",+C61+1)</f>
        <v>2058</v>
      </c>
      <c r="D62" s="509">
        <f>IF(F61+SUM(E$17:E61)=D$10,F61,D$10-SUM(E$17:E61))</f>
        <v>0</v>
      </c>
      <c r="E62" s="510">
        <f t="shared" si="10"/>
        <v>0</v>
      </c>
      <c r="F62" s="511">
        <f t="shared" si="11"/>
        <v>0</v>
      </c>
      <c r="G62" s="512">
        <f t="shared" si="12"/>
        <v>0</v>
      </c>
      <c r="H62" s="478">
        <f t="shared" si="13"/>
        <v>0</v>
      </c>
      <c r="I62" s="501">
        <f t="shared" si="6"/>
        <v>0</v>
      </c>
      <c r="J62" s="501"/>
      <c r="K62" s="513"/>
      <c r="L62" s="505">
        <f t="shared" si="14"/>
        <v>0</v>
      </c>
      <c r="M62" s="513"/>
      <c r="N62" s="505">
        <f t="shared" si="4"/>
        <v>0</v>
      </c>
      <c r="O62" s="505">
        <f t="shared" si="5"/>
        <v>0</v>
      </c>
      <c r="P62" s="279"/>
      <c r="R62" s="244"/>
      <c r="S62" s="244"/>
      <c r="T62" s="244"/>
      <c r="U62" s="244"/>
    </row>
    <row r="63" spans="2:21" ht="12.5">
      <c r="B63" s="145" t="str">
        <f t="shared" si="0"/>
        <v/>
      </c>
      <c r="C63" s="496">
        <f>IF(D11="","-",+C62+1)</f>
        <v>2059</v>
      </c>
      <c r="D63" s="509">
        <f>IF(F62+SUM(E$17:E62)=D$10,F62,D$10-SUM(E$17:E62))</f>
        <v>0</v>
      </c>
      <c r="E63" s="510">
        <f t="shared" si="10"/>
        <v>0</v>
      </c>
      <c r="F63" s="511">
        <f t="shared" si="11"/>
        <v>0</v>
      </c>
      <c r="G63" s="512">
        <f t="shared" si="12"/>
        <v>0</v>
      </c>
      <c r="H63" s="478">
        <f t="shared" si="13"/>
        <v>0</v>
      </c>
      <c r="I63" s="501">
        <f t="shared" si="6"/>
        <v>0</v>
      </c>
      <c r="J63" s="501"/>
      <c r="K63" s="513"/>
      <c r="L63" s="505">
        <f t="shared" si="14"/>
        <v>0</v>
      </c>
      <c r="M63" s="513"/>
      <c r="N63" s="505">
        <f t="shared" si="4"/>
        <v>0</v>
      </c>
      <c r="O63" s="505">
        <f t="shared" si="5"/>
        <v>0</v>
      </c>
      <c r="P63" s="279"/>
      <c r="R63" s="244"/>
      <c r="S63" s="244"/>
      <c r="T63" s="244"/>
      <c r="U63" s="244"/>
    </row>
    <row r="64" spans="2:21" ht="12.5">
      <c r="B64" s="145" t="str">
        <f t="shared" si="0"/>
        <v/>
      </c>
      <c r="C64" s="496">
        <f>IF(D11="","-",+C63+1)</f>
        <v>2060</v>
      </c>
      <c r="D64" s="509">
        <f>IF(F63+SUM(E$17:E63)=D$10,F63,D$10-SUM(E$17:E63))</f>
        <v>0</v>
      </c>
      <c r="E64" s="510">
        <f t="shared" si="10"/>
        <v>0</v>
      </c>
      <c r="F64" s="511">
        <f t="shared" si="11"/>
        <v>0</v>
      </c>
      <c r="G64" s="512">
        <f t="shared" si="12"/>
        <v>0</v>
      </c>
      <c r="H64" s="478">
        <f t="shared" si="13"/>
        <v>0</v>
      </c>
      <c r="I64" s="501">
        <f t="shared" si="6"/>
        <v>0</v>
      </c>
      <c r="J64" s="501"/>
      <c r="K64" s="513"/>
      <c r="L64" s="505">
        <f t="shared" si="14"/>
        <v>0</v>
      </c>
      <c r="M64" s="513"/>
      <c r="N64" s="505">
        <f t="shared" si="4"/>
        <v>0</v>
      </c>
      <c r="O64" s="505">
        <f t="shared" si="5"/>
        <v>0</v>
      </c>
      <c r="P64" s="279"/>
      <c r="R64" s="244"/>
      <c r="S64" s="244"/>
      <c r="T64" s="244"/>
      <c r="U64" s="244"/>
    </row>
    <row r="65" spans="2:21" ht="12.5">
      <c r="B65" s="145" t="str">
        <f t="shared" si="0"/>
        <v/>
      </c>
      <c r="C65" s="496">
        <f>IF(D11="","-",+C64+1)</f>
        <v>2061</v>
      </c>
      <c r="D65" s="509">
        <f>IF(F64+SUM(E$17:E64)=D$10,F64,D$10-SUM(E$17:E64))</f>
        <v>0</v>
      </c>
      <c r="E65" s="510">
        <f t="shared" si="10"/>
        <v>0</v>
      </c>
      <c r="F65" s="511">
        <f t="shared" si="11"/>
        <v>0</v>
      </c>
      <c r="G65" s="512">
        <f t="shared" si="12"/>
        <v>0</v>
      </c>
      <c r="H65" s="478">
        <f t="shared" si="13"/>
        <v>0</v>
      </c>
      <c r="I65" s="501">
        <f t="shared" si="6"/>
        <v>0</v>
      </c>
      <c r="J65" s="501"/>
      <c r="K65" s="513"/>
      <c r="L65" s="505">
        <f t="shared" si="14"/>
        <v>0</v>
      </c>
      <c r="M65" s="513"/>
      <c r="N65" s="505">
        <f t="shared" si="4"/>
        <v>0</v>
      </c>
      <c r="O65" s="505">
        <f t="shared" si="5"/>
        <v>0</v>
      </c>
      <c r="P65" s="279"/>
      <c r="R65" s="244"/>
      <c r="S65" s="244"/>
      <c r="T65" s="244"/>
      <c r="U65" s="244"/>
    </row>
    <row r="66" spans="2:21" ht="12.5">
      <c r="B66" s="145" t="str">
        <f t="shared" si="0"/>
        <v/>
      </c>
      <c r="C66" s="496">
        <f>IF(D11="","-",+C65+1)</f>
        <v>2062</v>
      </c>
      <c r="D66" s="509">
        <f>IF(F65+SUM(E$17:E65)=D$10,F65,D$10-SUM(E$17:E65))</f>
        <v>0</v>
      </c>
      <c r="E66" s="510">
        <f t="shared" si="10"/>
        <v>0</v>
      </c>
      <c r="F66" s="511">
        <f t="shared" si="11"/>
        <v>0</v>
      </c>
      <c r="G66" s="512">
        <f t="shared" si="12"/>
        <v>0</v>
      </c>
      <c r="H66" s="478">
        <f t="shared" si="13"/>
        <v>0</v>
      </c>
      <c r="I66" s="501">
        <f t="shared" si="6"/>
        <v>0</v>
      </c>
      <c r="J66" s="501"/>
      <c r="K66" s="513"/>
      <c r="L66" s="505">
        <f t="shared" si="14"/>
        <v>0</v>
      </c>
      <c r="M66" s="513"/>
      <c r="N66" s="505">
        <f t="shared" si="4"/>
        <v>0</v>
      </c>
      <c r="O66" s="505">
        <f t="shared" si="5"/>
        <v>0</v>
      </c>
      <c r="P66" s="279"/>
      <c r="R66" s="244"/>
      <c r="S66" s="244"/>
      <c r="T66" s="244"/>
      <c r="U66" s="244"/>
    </row>
    <row r="67" spans="2:21" ht="12.5">
      <c r="B67" s="145" t="str">
        <f t="shared" si="0"/>
        <v/>
      </c>
      <c r="C67" s="496">
        <f>IF(D11="","-",+C66+1)</f>
        <v>2063</v>
      </c>
      <c r="D67" s="509">
        <f>IF(F66+SUM(E$17:E66)=D$10,F66,D$10-SUM(E$17:E66))</f>
        <v>0</v>
      </c>
      <c r="E67" s="510">
        <f t="shared" si="10"/>
        <v>0</v>
      </c>
      <c r="F67" s="511">
        <f t="shared" si="11"/>
        <v>0</v>
      </c>
      <c r="G67" s="512">
        <f t="shared" si="12"/>
        <v>0</v>
      </c>
      <c r="H67" s="478">
        <f t="shared" si="13"/>
        <v>0</v>
      </c>
      <c r="I67" s="501">
        <f t="shared" si="6"/>
        <v>0</v>
      </c>
      <c r="J67" s="501"/>
      <c r="K67" s="513"/>
      <c r="L67" s="505">
        <f t="shared" si="14"/>
        <v>0</v>
      </c>
      <c r="M67" s="513"/>
      <c r="N67" s="505">
        <f t="shared" si="4"/>
        <v>0</v>
      </c>
      <c r="O67" s="505">
        <f t="shared" si="5"/>
        <v>0</v>
      </c>
      <c r="P67" s="279"/>
      <c r="R67" s="244"/>
      <c r="S67" s="244"/>
      <c r="T67" s="244"/>
      <c r="U67" s="244"/>
    </row>
    <row r="68" spans="2:21" ht="12.5">
      <c r="B68" s="145" t="str">
        <f t="shared" si="0"/>
        <v/>
      </c>
      <c r="C68" s="496">
        <f>IF(D11="","-",+C67+1)</f>
        <v>2064</v>
      </c>
      <c r="D68" s="509">
        <f>IF(F67+SUM(E$17:E67)=D$10,F67,D$10-SUM(E$17:E67))</f>
        <v>0</v>
      </c>
      <c r="E68" s="510">
        <f t="shared" si="10"/>
        <v>0</v>
      </c>
      <c r="F68" s="511">
        <f t="shared" si="11"/>
        <v>0</v>
      </c>
      <c r="G68" s="512">
        <f t="shared" si="12"/>
        <v>0</v>
      </c>
      <c r="H68" s="478">
        <f t="shared" si="13"/>
        <v>0</v>
      </c>
      <c r="I68" s="501">
        <f t="shared" si="6"/>
        <v>0</v>
      </c>
      <c r="J68" s="501"/>
      <c r="K68" s="513"/>
      <c r="L68" s="505">
        <f t="shared" si="14"/>
        <v>0</v>
      </c>
      <c r="M68" s="513"/>
      <c r="N68" s="505">
        <f t="shared" si="4"/>
        <v>0</v>
      </c>
      <c r="O68" s="505">
        <f t="shared" si="5"/>
        <v>0</v>
      </c>
      <c r="P68" s="279"/>
      <c r="R68" s="244"/>
      <c r="S68" s="244"/>
      <c r="T68" s="244"/>
      <c r="U68" s="244"/>
    </row>
    <row r="69" spans="2:21" ht="12.5">
      <c r="B69" s="145" t="str">
        <f t="shared" si="0"/>
        <v/>
      </c>
      <c r="C69" s="496">
        <f>IF(D11="","-",+C68+1)</f>
        <v>2065</v>
      </c>
      <c r="D69" s="509">
        <f>IF(F68+SUM(E$17:E68)=D$10,F68,D$10-SUM(E$17:E68))</f>
        <v>0</v>
      </c>
      <c r="E69" s="510">
        <f t="shared" si="10"/>
        <v>0</v>
      </c>
      <c r="F69" s="511">
        <f t="shared" si="11"/>
        <v>0</v>
      </c>
      <c r="G69" s="512">
        <f t="shared" si="12"/>
        <v>0</v>
      </c>
      <c r="H69" s="478">
        <f t="shared" si="13"/>
        <v>0</v>
      </c>
      <c r="I69" s="501">
        <f t="shared" si="6"/>
        <v>0</v>
      </c>
      <c r="J69" s="501"/>
      <c r="K69" s="513"/>
      <c r="L69" s="505">
        <f t="shared" si="14"/>
        <v>0</v>
      </c>
      <c r="M69" s="513"/>
      <c r="N69" s="505">
        <f t="shared" si="4"/>
        <v>0</v>
      </c>
      <c r="O69" s="505">
        <f t="shared" si="5"/>
        <v>0</v>
      </c>
      <c r="P69" s="279"/>
      <c r="R69" s="244"/>
      <c r="S69" s="244"/>
      <c r="T69" s="244"/>
      <c r="U69" s="244"/>
    </row>
    <row r="70" spans="2:21" ht="12.5">
      <c r="B70" s="145" t="str">
        <f t="shared" si="0"/>
        <v/>
      </c>
      <c r="C70" s="496">
        <f>IF(D11="","-",+C69+1)</f>
        <v>2066</v>
      </c>
      <c r="D70" s="509">
        <f>IF(F69+SUM(E$17:E69)=D$10,F69,D$10-SUM(E$17:E69))</f>
        <v>0</v>
      </c>
      <c r="E70" s="510">
        <f t="shared" si="10"/>
        <v>0</v>
      </c>
      <c r="F70" s="511">
        <f t="shared" si="11"/>
        <v>0</v>
      </c>
      <c r="G70" s="512">
        <f t="shared" si="12"/>
        <v>0</v>
      </c>
      <c r="H70" s="478">
        <f t="shared" si="13"/>
        <v>0</v>
      </c>
      <c r="I70" s="501">
        <f t="shared" si="6"/>
        <v>0</v>
      </c>
      <c r="J70" s="501"/>
      <c r="K70" s="513"/>
      <c r="L70" s="505">
        <f t="shared" si="14"/>
        <v>0</v>
      </c>
      <c r="M70" s="513"/>
      <c r="N70" s="505">
        <f t="shared" si="4"/>
        <v>0</v>
      </c>
      <c r="O70" s="505">
        <f t="shared" si="5"/>
        <v>0</v>
      </c>
      <c r="P70" s="279"/>
      <c r="R70" s="244"/>
      <c r="S70" s="244"/>
      <c r="T70" s="244"/>
      <c r="U70" s="244"/>
    </row>
    <row r="71" spans="2:21" ht="12.5">
      <c r="B71" s="145" t="str">
        <f t="shared" si="0"/>
        <v/>
      </c>
      <c r="C71" s="496">
        <f>IF(D11="","-",+C70+1)</f>
        <v>2067</v>
      </c>
      <c r="D71" s="509">
        <f>IF(F70+SUM(E$17:E70)=D$10,F70,D$10-SUM(E$17:E70))</f>
        <v>0</v>
      </c>
      <c r="E71" s="510">
        <f t="shared" si="10"/>
        <v>0</v>
      </c>
      <c r="F71" s="511">
        <f t="shared" si="11"/>
        <v>0</v>
      </c>
      <c r="G71" s="512">
        <f t="shared" si="12"/>
        <v>0</v>
      </c>
      <c r="H71" s="478">
        <f t="shared" si="13"/>
        <v>0</v>
      </c>
      <c r="I71" s="501">
        <f t="shared" si="6"/>
        <v>0</v>
      </c>
      <c r="J71" s="501"/>
      <c r="K71" s="513"/>
      <c r="L71" s="505">
        <f t="shared" si="14"/>
        <v>0</v>
      </c>
      <c r="M71" s="513"/>
      <c r="N71" s="505">
        <f t="shared" si="4"/>
        <v>0</v>
      </c>
      <c r="O71" s="505">
        <f t="shared" si="5"/>
        <v>0</v>
      </c>
      <c r="P71" s="279"/>
      <c r="R71" s="244"/>
      <c r="S71" s="244"/>
      <c r="T71" s="244"/>
      <c r="U71" s="244"/>
    </row>
    <row r="72" spans="2:21" ht="12.5">
      <c r="B72" s="145" t="str">
        <f t="shared" si="0"/>
        <v/>
      </c>
      <c r="C72" s="496">
        <f>IF(D11="","-",+C71+1)</f>
        <v>2068</v>
      </c>
      <c r="D72" s="509">
        <f>IF(F71+SUM(E$17:E71)=D$10,F71,D$10-SUM(E$17:E71))</f>
        <v>0</v>
      </c>
      <c r="E72" s="510">
        <f t="shared" si="10"/>
        <v>0</v>
      </c>
      <c r="F72" s="511">
        <f t="shared" si="11"/>
        <v>0</v>
      </c>
      <c r="G72" s="512">
        <f t="shared" si="12"/>
        <v>0</v>
      </c>
      <c r="H72" s="478">
        <f t="shared" si="13"/>
        <v>0</v>
      </c>
      <c r="I72" s="501">
        <f t="shared" si="6"/>
        <v>0</v>
      </c>
      <c r="J72" s="501"/>
      <c r="K72" s="513"/>
      <c r="L72" s="505">
        <f t="shared" si="14"/>
        <v>0</v>
      </c>
      <c r="M72" s="513"/>
      <c r="N72" s="505">
        <f t="shared" si="4"/>
        <v>0</v>
      </c>
      <c r="O72" s="505">
        <f t="shared" si="5"/>
        <v>0</v>
      </c>
      <c r="P72" s="279"/>
      <c r="R72" s="244"/>
      <c r="S72" s="244"/>
      <c r="T72" s="244"/>
      <c r="U72" s="244"/>
    </row>
    <row r="73" spans="2:21" ht="13" thickBot="1">
      <c r="B73" s="145" t="str">
        <f t="shared" si="0"/>
        <v/>
      </c>
      <c r="C73" s="525">
        <f>IF(D11="","-",+C72+1)</f>
        <v>2069</v>
      </c>
      <c r="D73" s="526">
        <f>IF(F72+SUM(E$17:E72)=D$10,F72,D$10-SUM(E$17:E72))</f>
        <v>0</v>
      </c>
      <c r="E73" s="527">
        <f t="shared" si="10"/>
        <v>0</v>
      </c>
      <c r="F73" s="528">
        <f t="shared" si="11"/>
        <v>0</v>
      </c>
      <c r="G73" s="528">
        <f t="shared" si="12"/>
        <v>0</v>
      </c>
      <c r="H73" s="528">
        <f t="shared" si="13"/>
        <v>0</v>
      </c>
      <c r="I73" s="530">
        <f t="shared" si="6"/>
        <v>0</v>
      </c>
      <c r="J73" s="501"/>
      <c r="K73" s="531"/>
      <c r="L73" s="532">
        <f t="shared" si="14"/>
        <v>0</v>
      </c>
      <c r="M73" s="531"/>
      <c r="N73" s="532">
        <f t="shared" si="4"/>
        <v>0</v>
      </c>
      <c r="O73" s="532">
        <f t="shared" si="5"/>
        <v>0</v>
      </c>
      <c r="P73" s="279"/>
      <c r="R73" s="244"/>
      <c r="S73" s="244"/>
      <c r="T73" s="244"/>
      <c r="U73" s="244"/>
    </row>
    <row r="74" spans="2:21" ht="12.5">
      <c r="C74" s="350" t="s">
        <v>75</v>
      </c>
      <c r="D74" s="295"/>
      <c r="E74" s="295">
        <f>SUM(E17:E73)</f>
        <v>13254470.190000003</v>
      </c>
      <c r="F74" s="295"/>
      <c r="G74" s="295">
        <f>SUM(G17:G73)</f>
        <v>45559132.745192923</v>
      </c>
      <c r="H74" s="295">
        <f>SUM(H17:H73)</f>
        <v>45559132.745192923</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439" t="str">
        <f ca="1">P1</f>
        <v>OKT Project 12 of 19</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2019</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1609165.6729314029</v>
      </c>
      <c r="N88" s="545">
        <f>IF(J93&lt;D11,0,VLOOKUP(J93,C17:O73,11))</f>
        <v>1609165.6729314029</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1678111.9401217271</v>
      </c>
      <c r="N89" s="549">
        <f>IF(J93&lt;D11,0,VLOOKUP(J93,C100:P155,7))</f>
        <v>1678111.9401217271</v>
      </c>
      <c r="O89" s="550">
        <f>+N89-M89</f>
        <v>0</v>
      </c>
      <c r="P89" s="244"/>
      <c r="Q89" s="244"/>
      <c r="R89" s="244"/>
      <c r="S89" s="244"/>
      <c r="T89" s="244"/>
      <c r="U89" s="244"/>
    </row>
    <row r="90" spans="1:21" ht="13.5" thickBot="1">
      <c r="C90" s="455" t="s">
        <v>82</v>
      </c>
      <c r="D90" s="551" t="str">
        <f>+D7</f>
        <v>Darlington-Red Rock 138 kV line</v>
      </c>
      <c r="E90" s="244"/>
      <c r="F90" s="244"/>
      <c r="G90" s="244"/>
      <c r="H90" s="244"/>
      <c r="I90" s="326"/>
      <c r="J90" s="326"/>
      <c r="K90" s="552"/>
      <c r="L90" s="553" t="s">
        <v>135</v>
      </c>
      <c r="M90" s="554">
        <f>+M89-M88</f>
        <v>68946.267190324143</v>
      </c>
      <c r="N90" s="554">
        <f>+N89-N88</f>
        <v>68946.267190324143</v>
      </c>
      <c r="O90" s="555">
        <f>+O89-O88</f>
        <v>0</v>
      </c>
      <c r="P90" s="244"/>
      <c r="Q90" s="244"/>
      <c r="R90" s="244"/>
      <c r="S90" s="244"/>
      <c r="T90" s="244"/>
      <c r="U90" s="244"/>
    </row>
    <row r="91" spans="1:21" ht="13.5" thickBot="1">
      <c r="C91" s="533"/>
      <c r="D91" s="627" t="str">
        <f>IF(D8="","",D8)</f>
        <v>***Sch. 11 recovery commenced in 2015 rate year***</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TP2012112</v>
      </c>
      <c r="E92" s="559"/>
      <c r="F92" s="559"/>
      <c r="G92" s="559"/>
      <c r="H92" s="559"/>
      <c r="I92" s="559"/>
      <c r="J92" s="559"/>
      <c r="K92" s="561"/>
      <c r="P92" s="469"/>
      <c r="Q92" s="244"/>
      <c r="R92" s="244"/>
      <c r="S92" s="244"/>
      <c r="T92" s="244"/>
      <c r="U92" s="244"/>
    </row>
    <row r="93" spans="1:21" ht="13">
      <c r="C93" s="473" t="s">
        <v>49</v>
      </c>
      <c r="D93" s="623">
        <v>13254470</v>
      </c>
      <c r="E93" s="249" t="s">
        <v>84</v>
      </c>
      <c r="H93" s="409"/>
      <c r="I93" s="409"/>
      <c r="J93" s="472">
        <f>+'OKT.WS.G.BPU.ATRR.True-up'!M16</f>
        <v>2019</v>
      </c>
      <c r="K93" s="468"/>
      <c r="L93" s="295" t="s">
        <v>85</v>
      </c>
      <c r="P93" s="279"/>
      <c r="Q93" s="244"/>
      <c r="R93" s="244"/>
      <c r="S93" s="244"/>
      <c r="T93" s="244"/>
      <c r="U93" s="244"/>
    </row>
    <row r="94" spans="1:21" ht="12.5">
      <c r="C94" s="473" t="s">
        <v>52</v>
      </c>
      <c r="D94" s="562">
        <f>D11</f>
        <v>2013</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62">
        <f>D12</f>
        <v>10</v>
      </c>
      <c r="E95" s="473" t="s">
        <v>55</v>
      </c>
      <c r="F95" s="409"/>
      <c r="G95" s="409"/>
      <c r="J95" s="477">
        <f>'OKT.WS.G.BPU.ATRR.True-up'!$F$81</f>
        <v>0.10800922592579221</v>
      </c>
      <c r="K95" s="414"/>
      <c r="L95" s="145" t="s">
        <v>86</v>
      </c>
      <c r="P95" s="279"/>
      <c r="Q95" s="244"/>
      <c r="R95" s="244"/>
      <c r="S95" s="244"/>
      <c r="T95" s="244"/>
      <c r="U95" s="244"/>
    </row>
    <row r="96" spans="1:21" ht="12.5">
      <c r="C96" s="473" t="s">
        <v>57</v>
      </c>
      <c r="D96" s="475">
        <f>'OKT.WS.G.BPU.ATRR.True-up'!F$93</f>
        <v>33</v>
      </c>
      <c r="E96" s="473" t="s">
        <v>58</v>
      </c>
      <c r="F96" s="409"/>
      <c r="G96" s="409"/>
      <c r="J96" s="477">
        <f>IF(H88="",J95,'OKT.WS.G.BPU.ATRR.True-up'!$F$80)</f>
        <v>0.10800922592579221</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401650.60606060608</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C100" s="496">
        <f>IF(D94= "","-",D94)</f>
        <v>2013</v>
      </c>
      <c r="D100" s="350"/>
      <c r="E100" s="512"/>
      <c r="F100" s="511"/>
      <c r="G100" s="606"/>
      <c r="H100" s="606"/>
      <c r="I100" s="606"/>
      <c r="J100" s="505"/>
      <c r="K100" s="505"/>
      <c r="L100" s="502"/>
      <c r="M100" s="503">
        <f t="shared" ref="M100:M131" si="15">IF(L100&lt;&gt;0,+H100-L100,0)</f>
        <v>0</v>
      </c>
      <c r="N100" s="502"/>
      <c r="O100" s="504">
        <f t="shared" ref="O100:O131" si="16">IF(N100&lt;&gt;0,+I100-N100,0)</f>
        <v>0</v>
      </c>
      <c r="P100" s="504">
        <f t="shared" ref="P100:P131" si="17">+O100-M100</f>
        <v>0</v>
      </c>
      <c r="Q100" s="244"/>
      <c r="R100" s="244"/>
      <c r="S100" s="244"/>
      <c r="T100" s="244"/>
      <c r="U100" s="244"/>
    </row>
    <row r="101" spans="1:21" ht="12.5">
      <c r="C101" s="496">
        <f>IF(D94="","-",+C100+1)</f>
        <v>2014</v>
      </c>
      <c r="D101" s="350"/>
      <c r="E101" s="510"/>
      <c r="F101" s="511"/>
      <c r="G101" s="511"/>
      <c r="H101" s="628"/>
      <c r="I101" s="629"/>
      <c r="J101" s="505"/>
      <c r="K101" s="505"/>
      <c r="L101" s="507"/>
      <c r="M101" s="508">
        <f t="shared" si="15"/>
        <v>0</v>
      </c>
      <c r="N101" s="507"/>
      <c r="O101" s="505">
        <f t="shared" si="16"/>
        <v>0</v>
      </c>
      <c r="P101" s="505">
        <f t="shared" si="17"/>
        <v>0</v>
      </c>
      <c r="Q101" s="244"/>
      <c r="R101" s="244"/>
      <c r="S101" s="244"/>
      <c r="T101" s="244"/>
      <c r="U101" s="244"/>
    </row>
    <row r="102" spans="1:21" ht="12.5">
      <c r="B102" s="145" t="str">
        <f t="shared" ref="B102:B155" si="18">IF(D102=F101,"","IU")</f>
        <v>IU</v>
      </c>
      <c r="C102" s="496">
        <f>IF(D94="","-",+C101+1)</f>
        <v>2015</v>
      </c>
      <c r="D102" s="497">
        <v>12986963.014521964</v>
      </c>
      <c r="E102" s="499">
        <v>276134.79166666669</v>
      </c>
      <c r="F102" s="506">
        <v>12710828.222855298</v>
      </c>
      <c r="G102" s="506">
        <v>12848895.618688632</v>
      </c>
      <c r="H102" s="499">
        <v>1706594.9989443137</v>
      </c>
      <c r="I102" s="500">
        <v>1706594.9989443137</v>
      </c>
      <c r="J102" s="505">
        <v>0</v>
      </c>
      <c r="K102" s="505"/>
      <c r="L102" s="507">
        <f>H102</f>
        <v>1706594.9989443137</v>
      </c>
      <c r="M102" s="505">
        <f>IF(L102&lt;&gt;0,+H102-L102,0)</f>
        <v>0</v>
      </c>
      <c r="N102" s="507">
        <f>I102</f>
        <v>1706594.9989443137</v>
      </c>
      <c r="O102" s="505">
        <f t="shared" si="16"/>
        <v>0</v>
      </c>
      <c r="P102" s="505">
        <f t="shared" si="17"/>
        <v>0</v>
      </c>
      <c r="Q102" s="244"/>
      <c r="R102" s="244"/>
      <c r="S102" s="244"/>
      <c r="T102" s="244"/>
      <c r="U102" s="244"/>
    </row>
    <row r="103" spans="1:21" ht="12.5">
      <c r="B103" s="145" t="str">
        <f t="shared" si="18"/>
        <v>IU</v>
      </c>
      <c r="C103" s="496">
        <f>IF(D94="","-",+C102+1)</f>
        <v>2016</v>
      </c>
      <c r="D103" s="497">
        <v>12978335.208333334</v>
      </c>
      <c r="E103" s="499">
        <v>259891.56862745099</v>
      </c>
      <c r="F103" s="506">
        <v>12718443.639705883</v>
      </c>
      <c r="G103" s="506">
        <v>12848389.424019609</v>
      </c>
      <c r="H103" s="499">
        <v>1652264.5848598198</v>
      </c>
      <c r="I103" s="500">
        <v>1652264.5848598198</v>
      </c>
      <c r="J103" s="505">
        <f>+I103-H103</f>
        <v>0</v>
      </c>
      <c r="K103" s="505"/>
      <c r="L103" s="507">
        <f>H103</f>
        <v>1652264.5848598198</v>
      </c>
      <c r="M103" s="505">
        <f>IF(L103&lt;&gt;0,+H103-L103,0)</f>
        <v>0</v>
      </c>
      <c r="N103" s="507">
        <f>I103</f>
        <v>1652264.5848598198</v>
      </c>
      <c r="O103" s="505">
        <f>IF(N103&lt;&gt;0,+I103-N103,0)</f>
        <v>0</v>
      </c>
      <c r="P103" s="505">
        <f>+O103-M103</f>
        <v>0</v>
      </c>
      <c r="Q103" s="244"/>
      <c r="R103" s="244"/>
      <c r="S103" s="244"/>
      <c r="T103" s="244"/>
      <c r="U103" s="244"/>
    </row>
    <row r="104" spans="1:21" ht="12.5">
      <c r="B104" s="145" t="str">
        <f t="shared" si="18"/>
        <v/>
      </c>
      <c r="C104" s="496">
        <f>IF(D94="","-",+C103+1)</f>
        <v>2017</v>
      </c>
      <c r="D104" s="497">
        <v>12718443.639705883</v>
      </c>
      <c r="E104" s="499">
        <v>331361.75</v>
      </c>
      <c r="F104" s="506">
        <v>12387081.889705883</v>
      </c>
      <c r="G104" s="506">
        <v>12552762.764705883</v>
      </c>
      <c r="H104" s="499">
        <v>1804251.0172391555</v>
      </c>
      <c r="I104" s="500">
        <v>1804251.0172391555</v>
      </c>
      <c r="J104" s="505">
        <v>0</v>
      </c>
      <c r="K104" s="505"/>
      <c r="L104" s="507">
        <f>H104</f>
        <v>1804251.0172391555</v>
      </c>
      <c r="M104" s="505">
        <f>IF(L104&lt;&gt;0,+H104-L104,0)</f>
        <v>0</v>
      </c>
      <c r="N104" s="507">
        <f>I104</f>
        <v>1804251.0172391555</v>
      </c>
      <c r="O104" s="505">
        <f>IF(N104&lt;&gt;0,+I104-N104,0)</f>
        <v>0</v>
      </c>
      <c r="P104" s="505">
        <f>+O104-M104</f>
        <v>0</v>
      </c>
      <c r="Q104" s="244"/>
      <c r="R104" s="244"/>
      <c r="S104" s="244"/>
      <c r="T104" s="244"/>
      <c r="U104" s="244"/>
    </row>
    <row r="105" spans="1:21" ht="12.5">
      <c r="B105" s="145" t="str">
        <f t="shared" si="18"/>
        <v/>
      </c>
      <c r="C105" s="496">
        <f>IF(D94="","-",+C104+1)</f>
        <v>2018</v>
      </c>
      <c r="D105" s="497">
        <v>12387081.889705883</v>
      </c>
      <c r="E105" s="499">
        <v>368179.72222222225</v>
      </c>
      <c r="F105" s="506">
        <v>12018902.167483661</v>
      </c>
      <c r="G105" s="506">
        <v>12202992.028594773</v>
      </c>
      <c r="H105" s="499">
        <v>1656357.447097271</v>
      </c>
      <c r="I105" s="500">
        <v>1656357.447097271</v>
      </c>
      <c r="J105" s="505">
        <f t="shared" ref="J105:J155" si="19">+I105-H105</f>
        <v>0</v>
      </c>
      <c r="K105" s="505"/>
      <c r="L105" s="507">
        <f>H105</f>
        <v>1656357.447097271</v>
      </c>
      <c r="M105" s="505">
        <f>IF(L105&lt;&gt;0,+H105-L105,0)</f>
        <v>0</v>
      </c>
      <c r="N105" s="507">
        <f>I105</f>
        <v>1656357.447097271</v>
      </c>
      <c r="O105" s="505">
        <f>IF(N105&lt;&gt;0,+I105-N105,0)</f>
        <v>0</v>
      </c>
      <c r="P105" s="505">
        <f>+O105-M105</f>
        <v>0</v>
      </c>
      <c r="Q105" s="244"/>
      <c r="R105" s="244"/>
      <c r="S105" s="244"/>
      <c r="T105" s="244"/>
      <c r="U105" s="244"/>
    </row>
    <row r="106" spans="1:21" ht="12.5">
      <c r="B106" s="145" t="str">
        <f t="shared" si="18"/>
        <v/>
      </c>
      <c r="C106" s="496">
        <f>IF(D94="","-",+C105+1)</f>
        <v>2019</v>
      </c>
      <c r="D106" s="350">
        <f>IF(F105+SUM(E$100:E105)=D$93,F105,D$93-SUM(E$100:E105))</f>
        <v>12018902.167483661</v>
      </c>
      <c r="E106" s="630">
        <f t="shared" ref="E106:E155" si="20">IF(+$J$97&lt;F105,$J$97,D106)</f>
        <v>401650.60606060608</v>
      </c>
      <c r="F106" s="511">
        <f t="shared" ref="F106:F155" si="21">+D106-E106</f>
        <v>11617251.561423056</v>
      </c>
      <c r="G106" s="511">
        <f t="shared" ref="G106:G155" si="22">+(F106+D106)/2</f>
        <v>11818076.864453359</v>
      </c>
      <c r="H106" s="631">
        <f t="shared" ref="H106:H155" si="23">+J$95*G106+E106</f>
        <v>1678111.9401217271</v>
      </c>
      <c r="I106" s="632">
        <f t="shared" ref="I106:I155" si="24">+J$96*G106+E106</f>
        <v>1678111.9401217271</v>
      </c>
      <c r="J106" s="505">
        <f t="shared" si="19"/>
        <v>0</v>
      </c>
      <c r="K106" s="505"/>
      <c r="L106" s="513"/>
      <c r="M106" s="505">
        <f t="shared" si="15"/>
        <v>0</v>
      </c>
      <c r="N106" s="513"/>
      <c r="O106" s="505">
        <f t="shared" si="16"/>
        <v>0</v>
      </c>
      <c r="P106" s="505">
        <f t="shared" si="17"/>
        <v>0</v>
      </c>
      <c r="Q106" s="244"/>
      <c r="R106" s="244"/>
      <c r="S106" s="244"/>
      <c r="T106" s="244"/>
      <c r="U106" s="244"/>
    </row>
    <row r="107" spans="1:21" ht="12.5">
      <c r="B107" s="145" t="str">
        <f t="shared" si="18"/>
        <v/>
      </c>
      <c r="C107" s="496">
        <f>IF(D94="","-",+C106+1)</f>
        <v>2020</v>
      </c>
      <c r="D107" s="350">
        <f>IF(F106+SUM(E$100:E106)=D$93,F106,D$93-SUM(E$100:E106))</f>
        <v>11617251.561423056</v>
      </c>
      <c r="E107" s="630">
        <f t="shared" si="20"/>
        <v>401650.60606060608</v>
      </c>
      <c r="F107" s="511">
        <f t="shared" si="21"/>
        <v>11215600.95536245</v>
      </c>
      <c r="G107" s="511">
        <f t="shared" si="22"/>
        <v>11416426.258392753</v>
      </c>
      <c r="H107" s="631">
        <f t="shared" si="23"/>
        <v>1634729.9690684956</v>
      </c>
      <c r="I107" s="632">
        <f t="shared" si="24"/>
        <v>1634729.9690684956</v>
      </c>
      <c r="J107" s="505">
        <f t="shared" si="19"/>
        <v>0</v>
      </c>
      <c r="K107" s="505"/>
      <c r="L107" s="513"/>
      <c r="M107" s="505">
        <f t="shared" si="15"/>
        <v>0</v>
      </c>
      <c r="N107" s="513"/>
      <c r="O107" s="505">
        <f t="shared" si="16"/>
        <v>0</v>
      </c>
      <c r="P107" s="505">
        <f t="shared" si="17"/>
        <v>0</v>
      </c>
      <c r="Q107" s="244"/>
      <c r="R107" s="244"/>
      <c r="S107" s="244"/>
      <c r="T107" s="244"/>
      <c r="U107" s="244"/>
    </row>
    <row r="108" spans="1:21" ht="12.5">
      <c r="B108" s="145" t="str">
        <f t="shared" si="18"/>
        <v/>
      </c>
      <c r="C108" s="496">
        <f>IF(D94="","-",+C107+1)</f>
        <v>2021</v>
      </c>
      <c r="D108" s="350">
        <f>IF(F107+SUM(E$100:E107)=D$93,F107,D$93-SUM(E$100:E107))</f>
        <v>11215600.95536245</v>
      </c>
      <c r="E108" s="630">
        <f t="shared" si="20"/>
        <v>401650.60606060608</v>
      </c>
      <c r="F108" s="511">
        <f t="shared" si="21"/>
        <v>10813950.349301845</v>
      </c>
      <c r="G108" s="511">
        <f t="shared" si="22"/>
        <v>11014775.652332148</v>
      </c>
      <c r="H108" s="631">
        <f t="shared" si="23"/>
        <v>1591347.998015264</v>
      </c>
      <c r="I108" s="632">
        <f t="shared" si="24"/>
        <v>1591347.998015264</v>
      </c>
      <c r="J108" s="505">
        <f t="shared" si="19"/>
        <v>0</v>
      </c>
      <c r="K108" s="505"/>
      <c r="L108" s="513"/>
      <c r="M108" s="505">
        <f t="shared" si="15"/>
        <v>0</v>
      </c>
      <c r="N108" s="513"/>
      <c r="O108" s="505">
        <f t="shared" si="16"/>
        <v>0</v>
      </c>
      <c r="P108" s="505">
        <f t="shared" si="17"/>
        <v>0</v>
      </c>
      <c r="Q108" s="244"/>
      <c r="R108" s="244"/>
      <c r="S108" s="244"/>
      <c r="T108" s="244"/>
      <c r="U108" s="244"/>
    </row>
    <row r="109" spans="1:21" ht="12.5">
      <c r="B109" s="145" t="str">
        <f t="shared" si="18"/>
        <v/>
      </c>
      <c r="C109" s="496">
        <f>IF(D94="","-",+C108+1)</f>
        <v>2022</v>
      </c>
      <c r="D109" s="350">
        <f>IF(F108+SUM(E$100:E108)=D$93,F108,D$93-SUM(E$100:E108))</f>
        <v>10813950.349301845</v>
      </c>
      <c r="E109" s="630">
        <f t="shared" si="20"/>
        <v>401650.60606060608</v>
      </c>
      <c r="F109" s="511">
        <f t="shared" si="21"/>
        <v>10412299.743241239</v>
      </c>
      <c r="G109" s="511">
        <f t="shared" si="22"/>
        <v>10613125.046271542</v>
      </c>
      <c r="H109" s="631">
        <f t="shared" si="23"/>
        <v>1547966.026962033</v>
      </c>
      <c r="I109" s="632">
        <f t="shared" si="24"/>
        <v>1547966.026962033</v>
      </c>
      <c r="J109" s="505">
        <f t="shared" si="19"/>
        <v>0</v>
      </c>
      <c r="K109" s="505"/>
      <c r="L109" s="513"/>
      <c r="M109" s="505">
        <f t="shared" si="15"/>
        <v>0</v>
      </c>
      <c r="N109" s="513"/>
      <c r="O109" s="505">
        <f t="shared" si="16"/>
        <v>0</v>
      </c>
      <c r="P109" s="505">
        <f t="shared" si="17"/>
        <v>0</v>
      </c>
      <c r="Q109" s="244"/>
      <c r="R109" s="244"/>
      <c r="S109" s="244"/>
      <c r="T109" s="244"/>
      <c r="U109" s="244"/>
    </row>
    <row r="110" spans="1:21" ht="12.5">
      <c r="B110" s="145" t="str">
        <f t="shared" si="18"/>
        <v/>
      </c>
      <c r="C110" s="496">
        <f>IF(D94="","-",+C109+1)</f>
        <v>2023</v>
      </c>
      <c r="D110" s="350">
        <f>IF(F109+SUM(E$100:E109)=D$93,F109,D$93-SUM(E$100:E109))</f>
        <v>10412299.743241239</v>
      </c>
      <c r="E110" s="630">
        <f t="shared" si="20"/>
        <v>401650.60606060608</v>
      </c>
      <c r="F110" s="511">
        <f t="shared" si="21"/>
        <v>10010649.137180634</v>
      </c>
      <c r="G110" s="511">
        <f t="shared" si="22"/>
        <v>10211474.440210937</v>
      </c>
      <c r="H110" s="631">
        <f t="shared" si="23"/>
        <v>1504584.0559088015</v>
      </c>
      <c r="I110" s="632">
        <f t="shared" si="24"/>
        <v>1504584.0559088015</v>
      </c>
      <c r="J110" s="505">
        <f t="shared" si="19"/>
        <v>0</v>
      </c>
      <c r="K110" s="505"/>
      <c r="L110" s="513"/>
      <c r="M110" s="505">
        <f t="shared" si="15"/>
        <v>0</v>
      </c>
      <c r="N110" s="513"/>
      <c r="O110" s="505">
        <f t="shared" si="16"/>
        <v>0</v>
      </c>
      <c r="P110" s="505">
        <f t="shared" si="17"/>
        <v>0</v>
      </c>
      <c r="Q110" s="244"/>
      <c r="R110" s="244"/>
      <c r="S110" s="244"/>
      <c r="T110" s="244"/>
      <c r="U110" s="244"/>
    </row>
    <row r="111" spans="1:21" ht="12.5">
      <c r="B111" s="145" t="str">
        <f t="shared" si="18"/>
        <v/>
      </c>
      <c r="C111" s="496">
        <f>IF(D94="","-",+C110+1)</f>
        <v>2024</v>
      </c>
      <c r="D111" s="350">
        <f>IF(F110+SUM(E$100:E110)=D$93,F110,D$93-SUM(E$100:E110))</f>
        <v>10010649.137180634</v>
      </c>
      <c r="E111" s="630">
        <f t="shared" si="20"/>
        <v>401650.60606060608</v>
      </c>
      <c r="F111" s="511">
        <f t="shared" si="21"/>
        <v>9608998.5311200283</v>
      </c>
      <c r="G111" s="511">
        <f t="shared" si="22"/>
        <v>9809823.8341503311</v>
      </c>
      <c r="H111" s="631">
        <f t="shared" si="23"/>
        <v>1461202.0848555705</v>
      </c>
      <c r="I111" s="632">
        <f t="shared" si="24"/>
        <v>1461202.0848555705</v>
      </c>
      <c r="J111" s="505">
        <f t="shared" si="19"/>
        <v>0</v>
      </c>
      <c r="K111" s="505"/>
      <c r="L111" s="513"/>
      <c r="M111" s="505">
        <f t="shared" si="15"/>
        <v>0</v>
      </c>
      <c r="N111" s="513"/>
      <c r="O111" s="505">
        <f t="shared" si="16"/>
        <v>0</v>
      </c>
      <c r="P111" s="505">
        <f t="shared" si="17"/>
        <v>0</v>
      </c>
      <c r="Q111" s="244"/>
      <c r="R111" s="244"/>
      <c r="S111" s="244"/>
      <c r="T111" s="244"/>
      <c r="U111" s="244"/>
    </row>
    <row r="112" spans="1:21" ht="12.5">
      <c r="B112" s="145" t="str">
        <f t="shared" si="18"/>
        <v/>
      </c>
      <c r="C112" s="496">
        <f>IF(D94="","-",+C111+1)</f>
        <v>2025</v>
      </c>
      <c r="D112" s="350">
        <f>IF(F111+SUM(E$100:E111)=D$93,F111,D$93-SUM(E$100:E111))</f>
        <v>9608998.5311200283</v>
      </c>
      <c r="E112" s="630">
        <f t="shared" si="20"/>
        <v>401650.60606060608</v>
      </c>
      <c r="F112" s="511">
        <f t="shared" si="21"/>
        <v>9207347.9250594229</v>
      </c>
      <c r="G112" s="511">
        <f t="shared" si="22"/>
        <v>9408173.2280897256</v>
      </c>
      <c r="H112" s="631">
        <f t="shared" si="23"/>
        <v>1417820.113802339</v>
      </c>
      <c r="I112" s="632">
        <f t="shared" si="24"/>
        <v>1417820.113802339</v>
      </c>
      <c r="J112" s="505">
        <f t="shared" si="19"/>
        <v>0</v>
      </c>
      <c r="K112" s="505"/>
      <c r="L112" s="513"/>
      <c r="M112" s="505">
        <f t="shared" si="15"/>
        <v>0</v>
      </c>
      <c r="N112" s="513"/>
      <c r="O112" s="505">
        <f t="shared" si="16"/>
        <v>0</v>
      </c>
      <c r="P112" s="505">
        <f t="shared" si="17"/>
        <v>0</v>
      </c>
      <c r="Q112" s="244"/>
      <c r="R112" s="244"/>
      <c r="S112" s="244"/>
      <c r="T112" s="244"/>
      <c r="U112" s="244"/>
    </row>
    <row r="113" spans="2:21" ht="12.5">
      <c r="B113" s="145" t="str">
        <f t="shared" si="18"/>
        <v/>
      </c>
      <c r="C113" s="496">
        <f>IF(D94="","-",+C112+1)</f>
        <v>2026</v>
      </c>
      <c r="D113" s="350">
        <f>IF(F112+SUM(E$100:E112)=D$93,F112,D$93-SUM(E$100:E112))</f>
        <v>9207347.9250594229</v>
      </c>
      <c r="E113" s="630">
        <f t="shared" si="20"/>
        <v>401650.60606060608</v>
      </c>
      <c r="F113" s="511">
        <f t="shared" si="21"/>
        <v>8805697.3189988174</v>
      </c>
      <c r="G113" s="511">
        <f t="shared" si="22"/>
        <v>9006522.6220291201</v>
      </c>
      <c r="H113" s="631">
        <f t="shared" si="23"/>
        <v>1374438.1427491077</v>
      </c>
      <c r="I113" s="632">
        <f t="shared" si="24"/>
        <v>1374438.1427491077</v>
      </c>
      <c r="J113" s="505">
        <f t="shared" si="19"/>
        <v>0</v>
      </c>
      <c r="K113" s="505"/>
      <c r="L113" s="513"/>
      <c r="M113" s="505">
        <f t="shared" si="15"/>
        <v>0</v>
      </c>
      <c r="N113" s="513"/>
      <c r="O113" s="505">
        <f t="shared" si="16"/>
        <v>0</v>
      </c>
      <c r="P113" s="505">
        <f t="shared" si="17"/>
        <v>0</v>
      </c>
      <c r="Q113" s="244"/>
      <c r="R113" s="244"/>
      <c r="S113" s="244"/>
      <c r="T113" s="244"/>
      <c r="U113" s="244"/>
    </row>
    <row r="114" spans="2:21" ht="12.5">
      <c r="B114" s="145" t="str">
        <f t="shared" si="18"/>
        <v/>
      </c>
      <c r="C114" s="496">
        <f>IF(D94="","-",+C113+1)</f>
        <v>2027</v>
      </c>
      <c r="D114" s="350">
        <f>IF(F113+SUM(E$100:E113)=D$93,F113,D$93-SUM(E$100:E113))</f>
        <v>8805697.3189988174</v>
      </c>
      <c r="E114" s="630">
        <f t="shared" si="20"/>
        <v>401650.60606060608</v>
      </c>
      <c r="F114" s="511">
        <f t="shared" si="21"/>
        <v>8404046.7129382119</v>
      </c>
      <c r="G114" s="511">
        <f t="shared" si="22"/>
        <v>8604872.0159685146</v>
      </c>
      <c r="H114" s="631">
        <f t="shared" si="23"/>
        <v>1331056.1716958764</v>
      </c>
      <c r="I114" s="632">
        <f t="shared" si="24"/>
        <v>1331056.1716958764</v>
      </c>
      <c r="J114" s="505">
        <f t="shared" si="19"/>
        <v>0</v>
      </c>
      <c r="K114" s="505"/>
      <c r="L114" s="513"/>
      <c r="M114" s="505">
        <f t="shared" si="15"/>
        <v>0</v>
      </c>
      <c r="N114" s="513"/>
      <c r="O114" s="505">
        <f t="shared" si="16"/>
        <v>0</v>
      </c>
      <c r="P114" s="505">
        <f t="shared" si="17"/>
        <v>0</v>
      </c>
      <c r="Q114" s="244"/>
      <c r="R114" s="244"/>
      <c r="S114" s="244"/>
      <c r="T114" s="244"/>
      <c r="U114" s="244"/>
    </row>
    <row r="115" spans="2:21" ht="12.5">
      <c r="B115" s="145" t="str">
        <f t="shared" si="18"/>
        <v/>
      </c>
      <c r="C115" s="496">
        <f>IF(D94="","-",+C114+1)</f>
        <v>2028</v>
      </c>
      <c r="D115" s="350">
        <f>IF(F114+SUM(E$100:E114)=D$93,F114,D$93-SUM(E$100:E114))</f>
        <v>8404046.7129382119</v>
      </c>
      <c r="E115" s="630">
        <f t="shared" si="20"/>
        <v>401650.60606060608</v>
      </c>
      <c r="F115" s="511">
        <f t="shared" si="21"/>
        <v>8002396.1068776054</v>
      </c>
      <c r="G115" s="511">
        <f t="shared" si="22"/>
        <v>8203221.4099079091</v>
      </c>
      <c r="H115" s="631">
        <f t="shared" si="23"/>
        <v>1287674.2006426451</v>
      </c>
      <c r="I115" s="632">
        <f t="shared" si="24"/>
        <v>1287674.2006426451</v>
      </c>
      <c r="J115" s="505">
        <f t="shared" si="19"/>
        <v>0</v>
      </c>
      <c r="K115" s="505"/>
      <c r="L115" s="513"/>
      <c r="M115" s="505">
        <f t="shared" si="15"/>
        <v>0</v>
      </c>
      <c r="N115" s="513"/>
      <c r="O115" s="505">
        <f t="shared" si="16"/>
        <v>0</v>
      </c>
      <c r="P115" s="505">
        <f t="shared" si="17"/>
        <v>0</v>
      </c>
      <c r="Q115" s="244"/>
      <c r="R115" s="244"/>
      <c r="S115" s="244"/>
      <c r="T115" s="244"/>
      <c r="U115" s="244"/>
    </row>
    <row r="116" spans="2:21" ht="12.5">
      <c r="B116" s="145" t="str">
        <f t="shared" si="18"/>
        <v/>
      </c>
      <c r="C116" s="496">
        <f>IF(D94="","-",+C115+1)</f>
        <v>2029</v>
      </c>
      <c r="D116" s="350">
        <f>IF(F115+SUM(E$100:E115)=D$93,F115,D$93-SUM(E$100:E115))</f>
        <v>8002396.1068776054</v>
      </c>
      <c r="E116" s="630">
        <f t="shared" si="20"/>
        <v>401650.60606060608</v>
      </c>
      <c r="F116" s="511">
        <f t="shared" si="21"/>
        <v>7600745.500816999</v>
      </c>
      <c r="G116" s="511">
        <f t="shared" si="22"/>
        <v>7801570.8038473018</v>
      </c>
      <c r="H116" s="631">
        <f t="shared" si="23"/>
        <v>1244292.2295894136</v>
      </c>
      <c r="I116" s="632">
        <f t="shared" si="24"/>
        <v>1244292.2295894136</v>
      </c>
      <c r="J116" s="505">
        <f t="shared" si="19"/>
        <v>0</v>
      </c>
      <c r="K116" s="505"/>
      <c r="L116" s="513"/>
      <c r="M116" s="505">
        <f t="shared" si="15"/>
        <v>0</v>
      </c>
      <c r="N116" s="513"/>
      <c r="O116" s="505">
        <f t="shared" si="16"/>
        <v>0</v>
      </c>
      <c r="P116" s="505">
        <f t="shared" si="17"/>
        <v>0</v>
      </c>
      <c r="Q116" s="244"/>
      <c r="R116" s="244"/>
      <c r="S116" s="244"/>
      <c r="T116" s="244"/>
      <c r="U116" s="244"/>
    </row>
    <row r="117" spans="2:21" ht="12.5">
      <c r="B117" s="145" t="str">
        <f t="shared" si="18"/>
        <v/>
      </c>
      <c r="C117" s="496">
        <f>IF(D94="","-",+C116+1)</f>
        <v>2030</v>
      </c>
      <c r="D117" s="350">
        <f>IF(F116+SUM(E$100:E116)=D$93,F116,D$93-SUM(E$100:E116))</f>
        <v>7600745.500816999</v>
      </c>
      <c r="E117" s="630">
        <f t="shared" si="20"/>
        <v>401650.60606060608</v>
      </c>
      <c r="F117" s="511">
        <f t="shared" si="21"/>
        <v>7199094.8947563926</v>
      </c>
      <c r="G117" s="511">
        <f t="shared" si="22"/>
        <v>7399920.1977866963</v>
      </c>
      <c r="H117" s="631">
        <f t="shared" si="23"/>
        <v>1200910.2585361823</v>
      </c>
      <c r="I117" s="632">
        <f t="shared" si="24"/>
        <v>1200910.2585361823</v>
      </c>
      <c r="J117" s="505">
        <f t="shared" si="19"/>
        <v>0</v>
      </c>
      <c r="K117" s="505"/>
      <c r="L117" s="513"/>
      <c r="M117" s="505">
        <f t="shared" si="15"/>
        <v>0</v>
      </c>
      <c r="N117" s="513"/>
      <c r="O117" s="505">
        <f t="shared" si="16"/>
        <v>0</v>
      </c>
      <c r="P117" s="505">
        <f t="shared" si="17"/>
        <v>0</v>
      </c>
      <c r="Q117" s="244"/>
      <c r="R117" s="244"/>
      <c r="S117" s="244"/>
      <c r="T117" s="244"/>
      <c r="U117" s="244"/>
    </row>
    <row r="118" spans="2:21" ht="12.5">
      <c r="B118" s="145" t="str">
        <f t="shared" si="18"/>
        <v/>
      </c>
      <c r="C118" s="496">
        <f>IF(D94="","-",+C117+1)</f>
        <v>2031</v>
      </c>
      <c r="D118" s="350">
        <f>IF(F117+SUM(E$100:E117)=D$93,F117,D$93-SUM(E$100:E117))</f>
        <v>7199094.8947563926</v>
      </c>
      <c r="E118" s="630">
        <f t="shared" si="20"/>
        <v>401650.60606060608</v>
      </c>
      <c r="F118" s="511">
        <f t="shared" si="21"/>
        <v>6797444.2886957861</v>
      </c>
      <c r="G118" s="511">
        <f t="shared" si="22"/>
        <v>6998269.5917260889</v>
      </c>
      <c r="H118" s="631">
        <f t="shared" si="23"/>
        <v>1157528.2874829508</v>
      </c>
      <c r="I118" s="632">
        <f t="shared" si="24"/>
        <v>1157528.2874829508</v>
      </c>
      <c r="J118" s="505">
        <f t="shared" si="19"/>
        <v>0</v>
      </c>
      <c r="K118" s="505"/>
      <c r="L118" s="513"/>
      <c r="M118" s="505">
        <f t="shared" si="15"/>
        <v>0</v>
      </c>
      <c r="N118" s="513"/>
      <c r="O118" s="505">
        <f t="shared" si="16"/>
        <v>0</v>
      </c>
      <c r="P118" s="505">
        <f t="shared" si="17"/>
        <v>0</v>
      </c>
      <c r="Q118" s="244"/>
      <c r="R118" s="244"/>
      <c r="S118" s="244"/>
      <c r="T118" s="244"/>
      <c r="U118" s="244"/>
    </row>
    <row r="119" spans="2:21" ht="12.5">
      <c r="B119" s="145" t="str">
        <f t="shared" si="18"/>
        <v/>
      </c>
      <c r="C119" s="496">
        <f>IF(D94="","-",+C118+1)</f>
        <v>2032</v>
      </c>
      <c r="D119" s="350">
        <f>IF(F118+SUM(E$100:E118)=D$93,F118,D$93-SUM(E$100:E118))</f>
        <v>6797444.2886957861</v>
      </c>
      <c r="E119" s="630">
        <f t="shared" si="20"/>
        <v>401650.60606060608</v>
      </c>
      <c r="F119" s="511">
        <f t="shared" si="21"/>
        <v>6395793.6826351797</v>
      </c>
      <c r="G119" s="511">
        <f t="shared" si="22"/>
        <v>6596618.9856654834</v>
      </c>
      <c r="H119" s="631">
        <f t="shared" si="23"/>
        <v>1114146.3164297193</v>
      </c>
      <c r="I119" s="632">
        <f t="shared" si="24"/>
        <v>1114146.3164297193</v>
      </c>
      <c r="J119" s="505">
        <f t="shared" si="19"/>
        <v>0</v>
      </c>
      <c r="K119" s="505"/>
      <c r="L119" s="513"/>
      <c r="M119" s="505">
        <f t="shared" si="15"/>
        <v>0</v>
      </c>
      <c r="N119" s="513"/>
      <c r="O119" s="505">
        <f t="shared" si="16"/>
        <v>0</v>
      </c>
      <c r="P119" s="505">
        <f t="shared" si="17"/>
        <v>0</v>
      </c>
      <c r="Q119" s="244"/>
      <c r="R119" s="244"/>
      <c r="S119" s="244"/>
      <c r="T119" s="244"/>
      <c r="U119" s="244"/>
    </row>
    <row r="120" spans="2:21" ht="12.5">
      <c r="B120" s="145" t="str">
        <f t="shared" si="18"/>
        <v/>
      </c>
      <c r="C120" s="496">
        <f>IF(D94="","-",+C119+1)</f>
        <v>2033</v>
      </c>
      <c r="D120" s="350">
        <f>IF(F119+SUM(E$100:E119)=D$93,F119,D$93-SUM(E$100:E119))</f>
        <v>6395793.6826351797</v>
      </c>
      <c r="E120" s="630">
        <f t="shared" si="20"/>
        <v>401650.60606060608</v>
      </c>
      <c r="F120" s="511">
        <f t="shared" si="21"/>
        <v>5994143.0765745733</v>
      </c>
      <c r="G120" s="511">
        <f t="shared" si="22"/>
        <v>6194968.379604876</v>
      </c>
      <c r="H120" s="631">
        <f t="shared" si="23"/>
        <v>1070764.3453764878</v>
      </c>
      <c r="I120" s="632">
        <f t="shared" si="24"/>
        <v>1070764.3453764878</v>
      </c>
      <c r="J120" s="505">
        <f t="shared" si="19"/>
        <v>0</v>
      </c>
      <c r="K120" s="505"/>
      <c r="L120" s="513"/>
      <c r="M120" s="505">
        <f t="shared" si="15"/>
        <v>0</v>
      </c>
      <c r="N120" s="513"/>
      <c r="O120" s="505">
        <f t="shared" si="16"/>
        <v>0</v>
      </c>
      <c r="P120" s="505">
        <f t="shared" si="17"/>
        <v>0</v>
      </c>
      <c r="Q120" s="244"/>
      <c r="R120" s="244"/>
      <c r="S120" s="244"/>
      <c r="T120" s="244"/>
      <c r="U120" s="244"/>
    </row>
    <row r="121" spans="2:21" ht="12.5">
      <c r="B121" s="145" t="str">
        <f t="shared" si="18"/>
        <v/>
      </c>
      <c r="C121" s="496">
        <f>IF(D94="","-",+C120+1)</f>
        <v>2034</v>
      </c>
      <c r="D121" s="350">
        <f>IF(F120+SUM(E$100:E120)=D$93,F120,D$93-SUM(E$100:E120))</f>
        <v>5994143.0765745733</v>
      </c>
      <c r="E121" s="630">
        <f t="shared" si="20"/>
        <v>401650.60606060608</v>
      </c>
      <c r="F121" s="511">
        <f t="shared" si="21"/>
        <v>5592492.4705139669</v>
      </c>
      <c r="G121" s="511">
        <f t="shared" si="22"/>
        <v>5793317.7735442705</v>
      </c>
      <c r="H121" s="631">
        <f t="shared" si="23"/>
        <v>1027382.3743232567</v>
      </c>
      <c r="I121" s="632">
        <f t="shared" si="24"/>
        <v>1027382.3743232567</v>
      </c>
      <c r="J121" s="505">
        <f t="shared" si="19"/>
        <v>0</v>
      </c>
      <c r="K121" s="505"/>
      <c r="L121" s="513"/>
      <c r="M121" s="505">
        <f t="shared" si="15"/>
        <v>0</v>
      </c>
      <c r="N121" s="513"/>
      <c r="O121" s="505">
        <f t="shared" si="16"/>
        <v>0</v>
      </c>
      <c r="P121" s="505">
        <f t="shared" si="17"/>
        <v>0</v>
      </c>
      <c r="Q121" s="244"/>
      <c r="R121" s="244"/>
      <c r="S121" s="244"/>
      <c r="T121" s="244"/>
      <c r="U121" s="244"/>
    </row>
    <row r="122" spans="2:21" ht="12.5">
      <c r="B122" s="145" t="str">
        <f t="shared" si="18"/>
        <v/>
      </c>
      <c r="C122" s="496">
        <f>IF(D94="","-",+C121+1)</f>
        <v>2035</v>
      </c>
      <c r="D122" s="350">
        <f>IF(F121+SUM(E$100:E121)=D$93,F121,D$93-SUM(E$100:E121))</f>
        <v>5592492.4705139669</v>
      </c>
      <c r="E122" s="630">
        <f t="shared" si="20"/>
        <v>401650.60606060608</v>
      </c>
      <c r="F122" s="511">
        <f t="shared" si="21"/>
        <v>5190841.8644533604</v>
      </c>
      <c r="G122" s="511">
        <f t="shared" si="22"/>
        <v>5391667.1674836632</v>
      </c>
      <c r="H122" s="631">
        <f t="shared" si="23"/>
        <v>984000.40327002516</v>
      </c>
      <c r="I122" s="632">
        <f t="shared" si="24"/>
        <v>984000.40327002516</v>
      </c>
      <c r="J122" s="505">
        <f t="shared" si="19"/>
        <v>0</v>
      </c>
      <c r="K122" s="505"/>
      <c r="L122" s="513"/>
      <c r="M122" s="505">
        <f t="shared" si="15"/>
        <v>0</v>
      </c>
      <c r="N122" s="513"/>
      <c r="O122" s="505">
        <f t="shared" si="16"/>
        <v>0</v>
      </c>
      <c r="P122" s="505">
        <f t="shared" si="17"/>
        <v>0</v>
      </c>
      <c r="Q122" s="244"/>
      <c r="R122" s="244"/>
      <c r="S122" s="244"/>
      <c r="T122" s="244"/>
      <c r="U122" s="244"/>
    </row>
    <row r="123" spans="2:21" ht="12.5">
      <c r="B123" s="145" t="str">
        <f t="shared" si="18"/>
        <v/>
      </c>
      <c r="C123" s="496">
        <f>IF(D94="","-",+C122+1)</f>
        <v>2036</v>
      </c>
      <c r="D123" s="350">
        <f>IF(F122+SUM(E$100:E122)=D$93,F122,D$93-SUM(E$100:E122))</f>
        <v>5190841.8644533604</v>
      </c>
      <c r="E123" s="630">
        <f t="shared" si="20"/>
        <v>401650.60606060608</v>
      </c>
      <c r="F123" s="511">
        <f t="shared" si="21"/>
        <v>4789191.258392754</v>
      </c>
      <c r="G123" s="511">
        <f t="shared" si="22"/>
        <v>4990016.5614230577</v>
      </c>
      <c r="H123" s="631">
        <f t="shared" si="23"/>
        <v>940618.43221679388</v>
      </c>
      <c r="I123" s="632">
        <f t="shared" si="24"/>
        <v>940618.43221679388</v>
      </c>
      <c r="J123" s="505">
        <f t="shared" si="19"/>
        <v>0</v>
      </c>
      <c r="K123" s="505"/>
      <c r="L123" s="513"/>
      <c r="M123" s="505">
        <f t="shared" si="15"/>
        <v>0</v>
      </c>
      <c r="N123" s="513"/>
      <c r="O123" s="505">
        <f t="shared" si="16"/>
        <v>0</v>
      </c>
      <c r="P123" s="505">
        <f t="shared" si="17"/>
        <v>0</v>
      </c>
      <c r="Q123" s="244"/>
      <c r="R123" s="244"/>
      <c r="S123" s="244"/>
      <c r="T123" s="244"/>
      <c r="U123" s="244"/>
    </row>
    <row r="124" spans="2:21" ht="12.5">
      <c r="B124" s="145" t="str">
        <f t="shared" si="18"/>
        <v/>
      </c>
      <c r="C124" s="496">
        <f>IF(D94="","-",+C123+1)</f>
        <v>2037</v>
      </c>
      <c r="D124" s="350">
        <f>IF(F123+SUM(E$100:E123)=D$93,F123,D$93-SUM(E$100:E123))</f>
        <v>4789191.258392754</v>
      </c>
      <c r="E124" s="630">
        <f t="shared" si="20"/>
        <v>401650.60606060608</v>
      </c>
      <c r="F124" s="511">
        <f t="shared" si="21"/>
        <v>4387540.6523321476</v>
      </c>
      <c r="G124" s="511">
        <f t="shared" si="22"/>
        <v>4588365.9553624503</v>
      </c>
      <c r="H124" s="631">
        <f t="shared" si="23"/>
        <v>897236.46116356237</v>
      </c>
      <c r="I124" s="632">
        <f t="shared" si="24"/>
        <v>897236.46116356237</v>
      </c>
      <c r="J124" s="505">
        <f t="shared" si="19"/>
        <v>0</v>
      </c>
      <c r="K124" s="505"/>
      <c r="L124" s="513"/>
      <c r="M124" s="505">
        <f t="shared" si="15"/>
        <v>0</v>
      </c>
      <c r="N124" s="513"/>
      <c r="O124" s="505">
        <f t="shared" si="16"/>
        <v>0</v>
      </c>
      <c r="P124" s="505">
        <f t="shared" si="17"/>
        <v>0</v>
      </c>
      <c r="Q124" s="244"/>
      <c r="R124" s="244"/>
      <c r="S124" s="244"/>
      <c r="T124" s="244"/>
      <c r="U124" s="244"/>
    </row>
    <row r="125" spans="2:21" ht="12.5">
      <c r="B125" s="145" t="str">
        <f t="shared" si="18"/>
        <v/>
      </c>
      <c r="C125" s="496">
        <f>IF(D94="","-",+C124+1)</f>
        <v>2038</v>
      </c>
      <c r="D125" s="350">
        <f>IF(F124+SUM(E$100:E124)=D$93,F124,D$93-SUM(E$100:E124))</f>
        <v>4387540.6523321476</v>
      </c>
      <c r="E125" s="630">
        <f t="shared" si="20"/>
        <v>401650.60606060608</v>
      </c>
      <c r="F125" s="511">
        <f t="shared" si="21"/>
        <v>3985890.0462715416</v>
      </c>
      <c r="G125" s="511">
        <f t="shared" si="22"/>
        <v>4186715.3493018448</v>
      </c>
      <c r="H125" s="631">
        <f t="shared" si="23"/>
        <v>853854.4901103311</v>
      </c>
      <c r="I125" s="632">
        <f t="shared" si="24"/>
        <v>853854.4901103311</v>
      </c>
      <c r="J125" s="505">
        <f t="shared" si="19"/>
        <v>0</v>
      </c>
      <c r="K125" s="505"/>
      <c r="L125" s="513"/>
      <c r="M125" s="505">
        <f t="shared" si="15"/>
        <v>0</v>
      </c>
      <c r="N125" s="513"/>
      <c r="O125" s="505">
        <f t="shared" si="16"/>
        <v>0</v>
      </c>
      <c r="P125" s="505">
        <f t="shared" si="17"/>
        <v>0</v>
      </c>
      <c r="Q125" s="244"/>
      <c r="R125" s="244"/>
      <c r="S125" s="244"/>
      <c r="T125" s="244"/>
      <c r="U125" s="244"/>
    </row>
    <row r="126" spans="2:21" ht="12.5">
      <c r="B126" s="145" t="str">
        <f t="shared" si="18"/>
        <v/>
      </c>
      <c r="C126" s="496">
        <f>IF(D94="","-",+C125+1)</f>
        <v>2039</v>
      </c>
      <c r="D126" s="350">
        <f>IF(F125+SUM(E$100:E125)=D$93,F125,D$93-SUM(E$100:E125))</f>
        <v>3985890.0462715416</v>
      </c>
      <c r="E126" s="630">
        <f t="shared" si="20"/>
        <v>401650.60606060608</v>
      </c>
      <c r="F126" s="511">
        <f t="shared" si="21"/>
        <v>3584239.4402109357</v>
      </c>
      <c r="G126" s="511">
        <f t="shared" si="22"/>
        <v>3785064.7432412384</v>
      </c>
      <c r="H126" s="631">
        <f t="shared" si="23"/>
        <v>810472.51905709971</v>
      </c>
      <c r="I126" s="632">
        <f t="shared" si="24"/>
        <v>810472.51905709971</v>
      </c>
      <c r="J126" s="505">
        <f t="shared" si="19"/>
        <v>0</v>
      </c>
      <c r="K126" s="505"/>
      <c r="L126" s="513"/>
      <c r="M126" s="505">
        <f t="shared" si="15"/>
        <v>0</v>
      </c>
      <c r="N126" s="513"/>
      <c r="O126" s="505">
        <f t="shared" si="16"/>
        <v>0</v>
      </c>
      <c r="P126" s="505">
        <f t="shared" si="17"/>
        <v>0</v>
      </c>
      <c r="Q126" s="244"/>
      <c r="R126" s="244"/>
      <c r="S126" s="244"/>
      <c r="T126" s="244"/>
      <c r="U126" s="244"/>
    </row>
    <row r="127" spans="2:21" ht="12.5">
      <c r="B127" s="145" t="str">
        <f t="shared" si="18"/>
        <v/>
      </c>
      <c r="C127" s="496">
        <f>IF(D94="","-",+C126+1)</f>
        <v>2040</v>
      </c>
      <c r="D127" s="350">
        <f>IF(F126+SUM(E$100:E126)=D$93,F126,D$93-SUM(E$100:E126))</f>
        <v>3584239.4402109357</v>
      </c>
      <c r="E127" s="630">
        <f t="shared" si="20"/>
        <v>401650.60606060608</v>
      </c>
      <c r="F127" s="511">
        <f t="shared" si="21"/>
        <v>3182588.8341503297</v>
      </c>
      <c r="G127" s="511">
        <f t="shared" si="22"/>
        <v>3383414.1371806329</v>
      </c>
      <c r="H127" s="631">
        <f t="shared" si="23"/>
        <v>767090.54800386843</v>
      </c>
      <c r="I127" s="632">
        <f t="shared" si="24"/>
        <v>767090.54800386843</v>
      </c>
      <c r="J127" s="505">
        <f t="shared" si="19"/>
        <v>0</v>
      </c>
      <c r="K127" s="505"/>
      <c r="L127" s="513"/>
      <c r="M127" s="505">
        <f t="shared" si="15"/>
        <v>0</v>
      </c>
      <c r="N127" s="513"/>
      <c r="O127" s="505">
        <f t="shared" si="16"/>
        <v>0</v>
      </c>
      <c r="P127" s="505">
        <f t="shared" si="17"/>
        <v>0</v>
      </c>
      <c r="Q127" s="244"/>
      <c r="R127" s="244"/>
      <c r="S127" s="244"/>
      <c r="T127" s="244"/>
      <c r="U127" s="244"/>
    </row>
    <row r="128" spans="2:21" ht="12.5">
      <c r="B128" s="145" t="str">
        <f t="shared" si="18"/>
        <v/>
      </c>
      <c r="C128" s="496">
        <f>IF(D94="","-",+C127+1)</f>
        <v>2041</v>
      </c>
      <c r="D128" s="350">
        <f>IF(F127+SUM(E$100:E127)=D$93,F127,D$93-SUM(E$100:E127))</f>
        <v>3182588.8341503297</v>
      </c>
      <c r="E128" s="630">
        <f t="shared" si="20"/>
        <v>401650.60606060608</v>
      </c>
      <c r="F128" s="511">
        <f t="shared" si="21"/>
        <v>2780938.2280897237</v>
      </c>
      <c r="G128" s="511">
        <f t="shared" si="22"/>
        <v>2981763.5311200265</v>
      </c>
      <c r="H128" s="631">
        <f t="shared" si="23"/>
        <v>723708.57695063693</v>
      </c>
      <c r="I128" s="632">
        <f t="shared" si="24"/>
        <v>723708.57695063693</v>
      </c>
      <c r="J128" s="505">
        <f t="shared" si="19"/>
        <v>0</v>
      </c>
      <c r="K128" s="505"/>
      <c r="L128" s="513"/>
      <c r="M128" s="505">
        <f t="shared" si="15"/>
        <v>0</v>
      </c>
      <c r="N128" s="513"/>
      <c r="O128" s="505">
        <f t="shared" si="16"/>
        <v>0</v>
      </c>
      <c r="P128" s="505">
        <f t="shared" si="17"/>
        <v>0</v>
      </c>
      <c r="Q128" s="244"/>
      <c r="R128" s="244"/>
      <c r="S128" s="244"/>
      <c r="T128" s="244"/>
      <c r="U128" s="244"/>
    </row>
    <row r="129" spans="2:21" ht="12.5">
      <c r="B129" s="145" t="str">
        <f t="shared" si="18"/>
        <v/>
      </c>
      <c r="C129" s="496">
        <f>IF(D94="","-",+C128+1)</f>
        <v>2042</v>
      </c>
      <c r="D129" s="350">
        <f>IF(F128+SUM(E$100:E128)=D$93,F128,D$93-SUM(E$100:E128))</f>
        <v>2780938.2280897237</v>
      </c>
      <c r="E129" s="630">
        <f t="shared" si="20"/>
        <v>401650.60606060608</v>
      </c>
      <c r="F129" s="511">
        <f t="shared" si="21"/>
        <v>2379287.6220291178</v>
      </c>
      <c r="G129" s="511">
        <f t="shared" si="22"/>
        <v>2580112.925059421</v>
      </c>
      <c r="H129" s="631">
        <f t="shared" si="23"/>
        <v>680326.60589740565</v>
      </c>
      <c r="I129" s="632">
        <f t="shared" si="24"/>
        <v>680326.60589740565</v>
      </c>
      <c r="J129" s="505">
        <f t="shared" si="19"/>
        <v>0</v>
      </c>
      <c r="K129" s="505"/>
      <c r="L129" s="513"/>
      <c r="M129" s="505">
        <f t="shared" si="15"/>
        <v>0</v>
      </c>
      <c r="N129" s="513"/>
      <c r="O129" s="505">
        <f t="shared" si="16"/>
        <v>0</v>
      </c>
      <c r="P129" s="505">
        <f t="shared" si="17"/>
        <v>0</v>
      </c>
      <c r="Q129" s="244"/>
      <c r="R129" s="244"/>
      <c r="S129" s="244"/>
      <c r="T129" s="244"/>
      <c r="U129" s="244"/>
    </row>
    <row r="130" spans="2:21" ht="12.5">
      <c r="B130" s="145" t="str">
        <f t="shared" si="18"/>
        <v/>
      </c>
      <c r="C130" s="496">
        <f>IF(D94="","-",+C129+1)</f>
        <v>2043</v>
      </c>
      <c r="D130" s="350">
        <f>IF(F129+SUM(E$100:E129)=D$93,F129,D$93-SUM(E$100:E129))</f>
        <v>2379287.6220291178</v>
      </c>
      <c r="E130" s="630">
        <f t="shared" si="20"/>
        <v>401650.60606060608</v>
      </c>
      <c r="F130" s="511">
        <f t="shared" si="21"/>
        <v>1977637.0159685118</v>
      </c>
      <c r="G130" s="511">
        <f t="shared" si="22"/>
        <v>2178462.3189988146</v>
      </c>
      <c r="H130" s="631">
        <f t="shared" si="23"/>
        <v>636944.63484417426</v>
      </c>
      <c r="I130" s="632">
        <f t="shared" si="24"/>
        <v>636944.63484417426</v>
      </c>
      <c r="J130" s="505">
        <f t="shared" si="19"/>
        <v>0</v>
      </c>
      <c r="K130" s="505"/>
      <c r="L130" s="513"/>
      <c r="M130" s="505">
        <f t="shared" si="15"/>
        <v>0</v>
      </c>
      <c r="N130" s="513"/>
      <c r="O130" s="505">
        <f t="shared" si="16"/>
        <v>0</v>
      </c>
      <c r="P130" s="505">
        <f t="shared" si="17"/>
        <v>0</v>
      </c>
      <c r="Q130" s="244"/>
      <c r="R130" s="244"/>
      <c r="S130" s="244"/>
      <c r="T130" s="244"/>
      <c r="U130" s="244"/>
    </row>
    <row r="131" spans="2:21" ht="12.5">
      <c r="B131" s="145" t="str">
        <f t="shared" si="18"/>
        <v/>
      </c>
      <c r="C131" s="496">
        <f>IF(D94="","-",+C130+1)</f>
        <v>2044</v>
      </c>
      <c r="D131" s="350">
        <f>IF(F130+SUM(E$100:E130)=D$93,F130,D$93-SUM(E$100:E130))</f>
        <v>1977637.0159685118</v>
      </c>
      <c r="E131" s="630">
        <f t="shared" si="20"/>
        <v>401650.60606060608</v>
      </c>
      <c r="F131" s="511">
        <f t="shared" si="21"/>
        <v>1575986.4099079059</v>
      </c>
      <c r="G131" s="511">
        <f t="shared" si="22"/>
        <v>1776811.7129382088</v>
      </c>
      <c r="H131" s="631">
        <f t="shared" si="23"/>
        <v>593562.66379094287</v>
      </c>
      <c r="I131" s="632">
        <f t="shared" si="24"/>
        <v>593562.66379094287</v>
      </c>
      <c r="J131" s="505">
        <f t="shared" si="19"/>
        <v>0</v>
      </c>
      <c r="K131" s="505"/>
      <c r="L131" s="513"/>
      <c r="M131" s="505">
        <f t="shared" si="15"/>
        <v>0</v>
      </c>
      <c r="N131" s="513"/>
      <c r="O131" s="505">
        <f t="shared" si="16"/>
        <v>0</v>
      </c>
      <c r="P131" s="505">
        <f t="shared" si="17"/>
        <v>0</v>
      </c>
      <c r="Q131" s="244"/>
      <c r="R131" s="244"/>
      <c r="S131" s="244"/>
      <c r="T131" s="244"/>
      <c r="U131" s="244"/>
    </row>
    <row r="132" spans="2:21" ht="12.5">
      <c r="B132" s="145" t="str">
        <f t="shared" si="18"/>
        <v/>
      </c>
      <c r="C132" s="496">
        <f>IF(D94="","-",+C131+1)</f>
        <v>2045</v>
      </c>
      <c r="D132" s="350">
        <f>IF(F131+SUM(E$100:E131)=D$93,F131,D$93-SUM(E$100:E131))</f>
        <v>1575986.4099079059</v>
      </c>
      <c r="E132" s="630">
        <f t="shared" si="20"/>
        <v>401650.60606060608</v>
      </c>
      <c r="F132" s="511">
        <f t="shared" si="21"/>
        <v>1174335.8038472999</v>
      </c>
      <c r="G132" s="511">
        <f t="shared" si="22"/>
        <v>1375161.1068776029</v>
      </c>
      <c r="H132" s="631">
        <f t="shared" si="23"/>
        <v>550180.69273771159</v>
      </c>
      <c r="I132" s="632">
        <f t="shared" si="24"/>
        <v>550180.69273771159</v>
      </c>
      <c r="J132" s="505">
        <f t="shared" si="19"/>
        <v>0</v>
      </c>
      <c r="K132" s="505"/>
      <c r="L132" s="513"/>
      <c r="M132" s="505">
        <f t="shared" ref="M132:M155" si="25">IF(L542&lt;&gt;0,+H542-L542,0)</f>
        <v>0</v>
      </c>
      <c r="N132" s="513"/>
      <c r="O132" s="505">
        <f t="shared" ref="O132:O155" si="26">IF(N542&lt;&gt;0,+I542-N542,0)</f>
        <v>0</v>
      </c>
      <c r="P132" s="505">
        <f t="shared" ref="P132:P155" si="27">+O542-M542</f>
        <v>0</v>
      </c>
      <c r="Q132" s="244"/>
      <c r="R132" s="244"/>
      <c r="S132" s="244"/>
      <c r="T132" s="244"/>
      <c r="U132" s="244"/>
    </row>
    <row r="133" spans="2:21" ht="12.5">
      <c r="B133" s="145" t="str">
        <f t="shared" si="18"/>
        <v/>
      </c>
      <c r="C133" s="496">
        <f>IF(D94="","-",+C132+1)</f>
        <v>2046</v>
      </c>
      <c r="D133" s="350">
        <f>IF(F132+SUM(E$100:E132)=D$93,F132,D$93-SUM(E$100:E132))</f>
        <v>1174335.8038472999</v>
      </c>
      <c r="E133" s="630">
        <f t="shared" si="20"/>
        <v>401650.60606060608</v>
      </c>
      <c r="F133" s="511">
        <f t="shared" si="21"/>
        <v>772685.19778669381</v>
      </c>
      <c r="G133" s="511">
        <f t="shared" si="22"/>
        <v>973510.50081699691</v>
      </c>
      <c r="H133" s="631">
        <f t="shared" si="23"/>
        <v>506798.7216844802</v>
      </c>
      <c r="I133" s="632">
        <f t="shared" si="24"/>
        <v>506798.7216844802</v>
      </c>
      <c r="J133" s="505">
        <f t="shared" si="19"/>
        <v>0</v>
      </c>
      <c r="K133" s="505"/>
      <c r="L133" s="513"/>
      <c r="M133" s="505">
        <f t="shared" si="25"/>
        <v>0</v>
      </c>
      <c r="N133" s="513"/>
      <c r="O133" s="505">
        <f t="shared" si="26"/>
        <v>0</v>
      </c>
      <c r="P133" s="505">
        <f t="shared" si="27"/>
        <v>0</v>
      </c>
      <c r="Q133" s="244"/>
      <c r="R133" s="244"/>
      <c r="S133" s="244"/>
      <c r="T133" s="244"/>
      <c r="U133" s="244"/>
    </row>
    <row r="134" spans="2:21" ht="12.5">
      <c r="B134" s="145" t="str">
        <f t="shared" si="18"/>
        <v/>
      </c>
      <c r="C134" s="496">
        <f>IF(D94="","-",+C133+1)</f>
        <v>2047</v>
      </c>
      <c r="D134" s="350">
        <f>IF(F133+SUM(E$100:E133)=D$93,F133,D$93-SUM(E$100:E133))</f>
        <v>772685.19778669381</v>
      </c>
      <c r="E134" s="630">
        <f t="shared" si="20"/>
        <v>401650.60606060608</v>
      </c>
      <c r="F134" s="511">
        <f t="shared" si="21"/>
        <v>371034.59172608773</v>
      </c>
      <c r="G134" s="511">
        <f t="shared" si="22"/>
        <v>571859.89475639071</v>
      </c>
      <c r="H134" s="631">
        <f t="shared" si="23"/>
        <v>463416.75063124881</v>
      </c>
      <c r="I134" s="632">
        <f t="shared" si="24"/>
        <v>463416.75063124881</v>
      </c>
      <c r="J134" s="505">
        <f t="shared" si="19"/>
        <v>0</v>
      </c>
      <c r="K134" s="505"/>
      <c r="L134" s="513"/>
      <c r="M134" s="505">
        <f t="shared" si="25"/>
        <v>0</v>
      </c>
      <c r="N134" s="513"/>
      <c r="O134" s="505">
        <f t="shared" si="26"/>
        <v>0</v>
      </c>
      <c r="P134" s="505">
        <f t="shared" si="27"/>
        <v>0</v>
      </c>
      <c r="Q134" s="244"/>
      <c r="R134" s="244"/>
      <c r="S134" s="244"/>
      <c r="T134" s="244"/>
      <c r="U134" s="244"/>
    </row>
    <row r="135" spans="2:21" ht="12.5">
      <c r="B135" s="145" t="str">
        <f t="shared" si="18"/>
        <v/>
      </c>
      <c r="C135" s="496">
        <f>IF(D94="","-",+C134+1)</f>
        <v>2048</v>
      </c>
      <c r="D135" s="350">
        <f>IF(F134+SUM(E$100:E134)=D$93,F134,D$93-SUM(E$100:E134))</f>
        <v>371034.59172608773</v>
      </c>
      <c r="E135" s="630">
        <f t="shared" si="20"/>
        <v>371034.59172608773</v>
      </c>
      <c r="F135" s="511">
        <f t="shared" si="21"/>
        <v>0</v>
      </c>
      <c r="G135" s="511">
        <f t="shared" si="22"/>
        <v>185517.29586304387</v>
      </c>
      <c r="H135" s="631">
        <f t="shared" si="23"/>
        <v>391072.17124810128</v>
      </c>
      <c r="I135" s="632">
        <f t="shared" si="24"/>
        <v>391072.17124810128</v>
      </c>
      <c r="J135" s="505">
        <f t="shared" si="19"/>
        <v>0</v>
      </c>
      <c r="K135" s="505"/>
      <c r="L135" s="513"/>
      <c r="M135" s="505">
        <f t="shared" si="25"/>
        <v>0</v>
      </c>
      <c r="N135" s="513"/>
      <c r="O135" s="505">
        <f t="shared" si="26"/>
        <v>0</v>
      </c>
      <c r="P135" s="505">
        <f t="shared" si="27"/>
        <v>0</v>
      </c>
      <c r="Q135" s="244"/>
      <c r="R135" s="244"/>
      <c r="S135" s="244"/>
      <c r="T135" s="244"/>
      <c r="U135" s="244"/>
    </row>
    <row r="136" spans="2:21" ht="12.5">
      <c r="B136" s="145" t="str">
        <f t="shared" si="18"/>
        <v/>
      </c>
      <c r="C136" s="496">
        <f>IF(D94="","-",+C135+1)</f>
        <v>2049</v>
      </c>
      <c r="D136" s="350">
        <f>IF(F135+SUM(E$100:E135)=D$93,F135,D$93-SUM(E$100:E135))</f>
        <v>0</v>
      </c>
      <c r="E136" s="630">
        <f t="shared" si="20"/>
        <v>0</v>
      </c>
      <c r="F136" s="511">
        <f t="shared" si="21"/>
        <v>0</v>
      </c>
      <c r="G136" s="511">
        <f t="shared" si="22"/>
        <v>0</v>
      </c>
      <c r="H136" s="631">
        <f t="shared" si="23"/>
        <v>0</v>
      </c>
      <c r="I136" s="632">
        <f t="shared" si="24"/>
        <v>0</v>
      </c>
      <c r="J136" s="505">
        <f t="shared" si="19"/>
        <v>0</v>
      </c>
      <c r="K136" s="505"/>
      <c r="L136" s="513"/>
      <c r="M136" s="505">
        <f t="shared" si="25"/>
        <v>0</v>
      </c>
      <c r="N136" s="513"/>
      <c r="O136" s="505">
        <f t="shared" si="26"/>
        <v>0</v>
      </c>
      <c r="P136" s="505">
        <f t="shared" si="27"/>
        <v>0</v>
      </c>
      <c r="Q136" s="244"/>
      <c r="R136" s="244"/>
      <c r="S136" s="244"/>
      <c r="T136" s="244"/>
      <c r="U136" s="244"/>
    </row>
    <row r="137" spans="2:21" ht="12.5">
      <c r="B137" s="145" t="str">
        <f t="shared" si="18"/>
        <v/>
      </c>
      <c r="C137" s="496">
        <f>IF(D94="","-",+C136+1)</f>
        <v>2050</v>
      </c>
      <c r="D137" s="350">
        <f>IF(F136+SUM(E$100:E136)=D$93,F136,D$93-SUM(E$100:E136))</f>
        <v>0</v>
      </c>
      <c r="E137" s="630">
        <f t="shared" si="20"/>
        <v>0</v>
      </c>
      <c r="F137" s="511">
        <f t="shared" si="21"/>
        <v>0</v>
      </c>
      <c r="G137" s="511">
        <f t="shared" si="22"/>
        <v>0</v>
      </c>
      <c r="H137" s="631">
        <f t="shared" si="23"/>
        <v>0</v>
      </c>
      <c r="I137" s="632">
        <f t="shared" si="24"/>
        <v>0</v>
      </c>
      <c r="J137" s="505">
        <f t="shared" si="19"/>
        <v>0</v>
      </c>
      <c r="K137" s="505"/>
      <c r="L137" s="513"/>
      <c r="M137" s="505">
        <f t="shared" si="25"/>
        <v>0</v>
      </c>
      <c r="N137" s="513"/>
      <c r="O137" s="505">
        <f t="shared" si="26"/>
        <v>0</v>
      </c>
      <c r="P137" s="505">
        <f t="shared" si="27"/>
        <v>0</v>
      </c>
      <c r="Q137" s="244"/>
      <c r="R137" s="244"/>
      <c r="S137" s="244"/>
      <c r="T137" s="244"/>
      <c r="U137" s="244"/>
    </row>
    <row r="138" spans="2:21" ht="12.5">
      <c r="B138" s="145" t="str">
        <f t="shared" si="18"/>
        <v/>
      </c>
      <c r="C138" s="496">
        <f>IF(D94="","-",+C137+1)</f>
        <v>2051</v>
      </c>
      <c r="D138" s="350">
        <f>IF(F137+SUM(E$100:E137)=D$93,F137,D$93-SUM(E$100:E137))</f>
        <v>0</v>
      </c>
      <c r="E138" s="630">
        <f t="shared" si="20"/>
        <v>0</v>
      </c>
      <c r="F138" s="511">
        <f t="shared" si="21"/>
        <v>0</v>
      </c>
      <c r="G138" s="511">
        <f t="shared" si="22"/>
        <v>0</v>
      </c>
      <c r="H138" s="631">
        <f t="shared" si="23"/>
        <v>0</v>
      </c>
      <c r="I138" s="632">
        <f t="shared" si="24"/>
        <v>0</v>
      </c>
      <c r="J138" s="505">
        <f t="shared" si="19"/>
        <v>0</v>
      </c>
      <c r="K138" s="505"/>
      <c r="L138" s="513"/>
      <c r="M138" s="505">
        <f t="shared" si="25"/>
        <v>0</v>
      </c>
      <c r="N138" s="513"/>
      <c r="O138" s="505">
        <f t="shared" si="26"/>
        <v>0</v>
      </c>
      <c r="P138" s="505">
        <f t="shared" si="27"/>
        <v>0</v>
      </c>
      <c r="Q138" s="244"/>
      <c r="R138" s="244"/>
      <c r="S138" s="244"/>
      <c r="T138" s="244"/>
      <c r="U138" s="244"/>
    </row>
    <row r="139" spans="2:21" ht="12.5">
      <c r="B139" s="145" t="str">
        <f t="shared" si="18"/>
        <v/>
      </c>
      <c r="C139" s="496">
        <f>IF(D94="","-",+C138+1)</f>
        <v>2052</v>
      </c>
      <c r="D139" s="350">
        <f>IF(F138+SUM(E$100:E138)=D$93,F138,D$93-SUM(E$100:E138))</f>
        <v>0</v>
      </c>
      <c r="E139" s="630">
        <f t="shared" si="20"/>
        <v>0</v>
      </c>
      <c r="F139" s="511">
        <f t="shared" si="21"/>
        <v>0</v>
      </c>
      <c r="G139" s="511">
        <f t="shared" si="22"/>
        <v>0</v>
      </c>
      <c r="H139" s="631">
        <f t="shared" si="23"/>
        <v>0</v>
      </c>
      <c r="I139" s="632">
        <f t="shared" si="24"/>
        <v>0</v>
      </c>
      <c r="J139" s="505">
        <f t="shared" si="19"/>
        <v>0</v>
      </c>
      <c r="K139" s="505"/>
      <c r="L139" s="513"/>
      <c r="M139" s="505">
        <f t="shared" si="25"/>
        <v>0</v>
      </c>
      <c r="N139" s="513"/>
      <c r="O139" s="505">
        <f t="shared" si="26"/>
        <v>0</v>
      </c>
      <c r="P139" s="505">
        <f t="shared" si="27"/>
        <v>0</v>
      </c>
      <c r="Q139" s="244"/>
      <c r="R139" s="244"/>
      <c r="S139" s="244"/>
      <c r="T139" s="244"/>
      <c r="U139" s="244"/>
    </row>
    <row r="140" spans="2:21" ht="12.5">
      <c r="B140" s="145" t="str">
        <f t="shared" si="18"/>
        <v/>
      </c>
      <c r="C140" s="496">
        <f>IF(D94="","-",+C139+1)</f>
        <v>2053</v>
      </c>
      <c r="D140" s="350">
        <f>IF(F139+SUM(E$100:E139)=D$93,F139,D$93-SUM(E$100:E139))</f>
        <v>0</v>
      </c>
      <c r="E140" s="630">
        <f t="shared" si="20"/>
        <v>0</v>
      </c>
      <c r="F140" s="511">
        <f t="shared" si="21"/>
        <v>0</v>
      </c>
      <c r="G140" s="511">
        <f t="shared" si="22"/>
        <v>0</v>
      </c>
      <c r="H140" s="631">
        <f t="shared" si="23"/>
        <v>0</v>
      </c>
      <c r="I140" s="632">
        <f t="shared" si="24"/>
        <v>0</v>
      </c>
      <c r="J140" s="505">
        <f t="shared" si="19"/>
        <v>0</v>
      </c>
      <c r="K140" s="505"/>
      <c r="L140" s="513"/>
      <c r="M140" s="505">
        <f t="shared" si="25"/>
        <v>0</v>
      </c>
      <c r="N140" s="513"/>
      <c r="O140" s="505">
        <f t="shared" si="26"/>
        <v>0</v>
      </c>
      <c r="P140" s="505">
        <f t="shared" si="27"/>
        <v>0</v>
      </c>
      <c r="Q140" s="244"/>
      <c r="R140" s="244"/>
      <c r="S140" s="244"/>
      <c r="T140" s="244"/>
      <c r="U140" s="244"/>
    </row>
    <row r="141" spans="2:21" ht="12.5">
      <c r="B141" s="145" t="str">
        <f t="shared" si="18"/>
        <v/>
      </c>
      <c r="C141" s="496">
        <f>IF(D94="","-",+C140+1)</f>
        <v>2054</v>
      </c>
      <c r="D141" s="350">
        <f>IF(F140+SUM(E$100:E140)=D$93,F140,D$93-SUM(E$100:E140))</f>
        <v>0</v>
      </c>
      <c r="E141" s="630">
        <f t="shared" si="20"/>
        <v>0</v>
      </c>
      <c r="F141" s="511">
        <f t="shared" si="21"/>
        <v>0</v>
      </c>
      <c r="G141" s="511">
        <f t="shared" si="22"/>
        <v>0</v>
      </c>
      <c r="H141" s="631">
        <f t="shared" si="23"/>
        <v>0</v>
      </c>
      <c r="I141" s="632">
        <f t="shared" si="24"/>
        <v>0</v>
      </c>
      <c r="J141" s="505">
        <f t="shared" si="19"/>
        <v>0</v>
      </c>
      <c r="K141" s="505"/>
      <c r="L141" s="513"/>
      <c r="M141" s="505">
        <f t="shared" si="25"/>
        <v>0</v>
      </c>
      <c r="N141" s="513"/>
      <c r="O141" s="505">
        <f t="shared" si="26"/>
        <v>0</v>
      </c>
      <c r="P141" s="505">
        <f t="shared" si="27"/>
        <v>0</v>
      </c>
      <c r="Q141" s="244"/>
      <c r="R141" s="244"/>
      <c r="S141" s="244"/>
      <c r="T141" s="244"/>
      <c r="U141" s="244"/>
    </row>
    <row r="142" spans="2:21" ht="12.5">
      <c r="B142" s="145" t="str">
        <f t="shared" si="18"/>
        <v/>
      </c>
      <c r="C142" s="496">
        <f>IF(D94="","-",+C141+1)</f>
        <v>2055</v>
      </c>
      <c r="D142" s="350">
        <f>IF(F141+SUM(E$100:E141)=D$93,F141,D$93-SUM(E$100:E141))</f>
        <v>0</v>
      </c>
      <c r="E142" s="630">
        <f t="shared" si="20"/>
        <v>0</v>
      </c>
      <c r="F142" s="511">
        <f t="shared" si="21"/>
        <v>0</v>
      </c>
      <c r="G142" s="511">
        <f t="shared" si="22"/>
        <v>0</v>
      </c>
      <c r="H142" s="631">
        <f t="shared" si="23"/>
        <v>0</v>
      </c>
      <c r="I142" s="632">
        <f t="shared" si="24"/>
        <v>0</v>
      </c>
      <c r="J142" s="505">
        <f t="shared" si="19"/>
        <v>0</v>
      </c>
      <c r="K142" s="505"/>
      <c r="L142" s="513"/>
      <c r="M142" s="505">
        <f t="shared" si="25"/>
        <v>0</v>
      </c>
      <c r="N142" s="513"/>
      <c r="O142" s="505">
        <f t="shared" si="26"/>
        <v>0</v>
      </c>
      <c r="P142" s="505">
        <f t="shared" si="27"/>
        <v>0</v>
      </c>
      <c r="Q142" s="244"/>
      <c r="R142" s="244"/>
      <c r="S142" s="244"/>
      <c r="T142" s="244"/>
      <c r="U142" s="244"/>
    </row>
    <row r="143" spans="2:21" ht="12.5">
      <c r="B143" s="145" t="str">
        <f t="shared" si="18"/>
        <v/>
      </c>
      <c r="C143" s="496">
        <f>IF(D94="","-",+C142+1)</f>
        <v>2056</v>
      </c>
      <c r="D143" s="350">
        <f>IF(F142+SUM(E$100:E142)=D$93,F142,D$93-SUM(E$100:E142))</f>
        <v>0</v>
      </c>
      <c r="E143" s="630">
        <f t="shared" si="20"/>
        <v>0</v>
      </c>
      <c r="F143" s="511">
        <f t="shared" si="21"/>
        <v>0</v>
      </c>
      <c r="G143" s="511">
        <f t="shared" si="22"/>
        <v>0</v>
      </c>
      <c r="H143" s="631">
        <f t="shared" si="23"/>
        <v>0</v>
      </c>
      <c r="I143" s="632">
        <f t="shared" si="24"/>
        <v>0</v>
      </c>
      <c r="J143" s="505">
        <f t="shared" si="19"/>
        <v>0</v>
      </c>
      <c r="K143" s="505"/>
      <c r="L143" s="513"/>
      <c r="M143" s="505">
        <f t="shared" si="25"/>
        <v>0</v>
      </c>
      <c r="N143" s="513"/>
      <c r="O143" s="505">
        <f t="shared" si="26"/>
        <v>0</v>
      </c>
      <c r="P143" s="505">
        <f t="shared" si="27"/>
        <v>0</v>
      </c>
      <c r="Q143" s="244"/>
      <c r="R143" s="244"/>
      <c r="S143" s="244"/>
      <c r="T143" s="244"/>
      <c r="U143" s="244"/>
    </row>
    <row r="144" spans="2:21" ht="12.5">
      <c r="B144" s="145" t="str">
        <f t="shared" si="18"/>
        <v/>
      </c>
      <c r="C144" s="496">
        <f>IF(D94="","-",+C143+1)</f>
        <v>2057</v>
      </c>
      <c r="D144" s="350">
        <f>IF(F143+SUM(E$100:E143)=D$93,F143,D$93-SUM(E$100:E143))</f>
        <v>0</v>
      </c>
      <c r="E144" s="630">
        <f t="shared" si="20"/>
        <v>0</v>
      </c>
      <c r="F144" s="511">
        <f t="shared" si="21"/>
        <v>0</v>
      </c>
      <c r="G144" s="511">
        <f t="shared" si="22"/>
        <v>0</v>
      </c>
      <c r="H144" s="631">
        <f t="shared" si="23"/>
        <v>0</v>
      </c>
      <c r="I144" s="632">
        <f t="shared" si="24"/>
        <v>0</v>
      </c>
      <c r="J144" s="505">
        <f t="shared" si="19"/>
        <v>0</v>
      </c>
      <c r="K144" s="505"/>
      <c r="L144" s="513"/>
      <c r="M144" s="505">
        <f t="shared" si="25"/>
        <v>0</v>
      </c>
      <c r="N144" s="513"/>
      <c r="O144" s="505">
        <f t="shared" si="26"/>
        <v>0</v>
      </c>
      <c r="P144" s="505">
        <f t="shared" si="27"/>
        <v>0</v>
      </c>
      <c r="Q144" s="244"/>
      <c r="R144" s="244"/>
      <c r="S144" s="244"/>
      <c r="T144" s="244"/>
      <c r="U144" s="244"/>
    </row>
    <row r="145" spans="2:21" ht="12.5">
      <c r="B145" s="145" t="str">
        <f t="shared" si="18"/>
        <v/>
      </c>
      <c r="C145" s="496">
        <f>IF(D94="","-",+C144+1)</f>
        <v>2058</v>
      </c>
      <c r="D145" s="350">
        <f>IF(F144+SUM(E$100:E144)=D$93,F144,D$93-SUM(E$100:E144))</f>
        <v>0</v>
      </c>
      <c r="E145" s="630">
        <f t="shared" si="20"/>
        <v>0</v>
      </c>
      <c r="F145" s="511">
        <f t="shared" si="21"/>
        <v>0</v>
      </c>
      <c r="G145" s="511">
        <f t="shared" si="22"/>
        <v>0</v>
      </c>
      <c r="H145" s="631">
        <f t="shared" si="23"/>
        <v>0</v>
      </c>
      <c r="I145" s="632">
        <f t="shared" si="24"/>
        <v>0</v>
      </c>
      <c r="J145" s="505">
        <f t="shared" si="19"/>
        <v>0</v>
      </c>
      <c r="K145" s="505"/>
      <c r="L145" s="513"/>
      <c r="M145" s="505">
        <f t="shared" si="25"/>
        <v>0</v>
      </c>
      <c r="N145" s="513"/>
      <c r="O145" s="505">
        <f t="shared" si="26"/>
        <v>0</v>
      </c>
      <c r="P145" s="505">
        <f t="shared" si="27"/>
        <v>0</v>
      </c>
      <c r="Q145" s="244"/>
      <c r="R145" s="244"/>
      <c r="S145" s="244"/>
      <c r="T145" s="244"/>
      <c r="U145" s="244"/>
    </row>
    <row r="146" spans="2:21" ht="12.5">
      <c r="B146" s="145" t="str">
        <f t="shared" si="18"/>
        <v/>
      </c>
      <c r="C146" s="496">
        <f>IF(D94="","-",+C145+1)</f>
        <v>2059</v>
      </c>
      <c r="D146" s="350">
        <f>IF(F145+SUM(E$100:E145)=D$93,F145,D$93-SUM(E$100:E145))</f>
        <v>0</v>
      </c>
      <c r="E146" s="630">
        <f t="shared" si="20"/>
        <v>0</v>
      </c>
      <c r="F146" s="511">
        <f t="shared" si="21"/>
        <v>0</v>
      </c>
      <c r="G146" s="511">
        <f t="shared" si="22"/>
        <v>0</v>
      </c>
      <c r="H146" s="631">
        <f t="shared" si="23"/>
        <v>0</v>
      </c>
      <c r="I146" s="632">
        <f t="shared" si="24"/>
        <v>0</v>
      </c>
      <c r="J146" s="505">
        <f t="shared" si="19"/>
        <v>0</v>
      </c>
      <c r="K146" s="505"/>
      <c r="L146" s="513"/>
      <c r="M146" s="505">
        <f t="shared" si="25"/>
        <v>0</v>
      </c>
      <c r="N146" s="513"/>
      <c r="O146" s="505">
        <f t="shared" si="26"/>
        <v>0</v>
      </c>
      <c r="P146" s="505">
        <f t="shared" si="27"/>
        <v>0</v>
      </c>
      <c r="Q146" s="244"/>
      <c r="R146" s="244"/>
      <c r="S146" s="244"/>
      <c r="T146" s="244"/>
      <c r="U146" s="244"/>
    </row>
    <row r="147" spans="2:21" ht="12.5">
      <c r="B147" s="145" t="str">
        <f t="shared" si="18"/>
        <v/>
      </c>
      <c r="C147" s="496">
        <f>IF(D94="","-",+C146+1)</f>
        <v>2060</v>
      </c>
      <c r="D147" s="350">
        <f>IF(F146+SUM(E$100:E146)=D$93,F146,D$93-SUM(E$100:E146))</f>
        <v>0</v>
      </c>
      <c r="E147" s="630">
        <f t="shared" si="20"/>
        <v>0</v>
      </c>
      <c r="F147" s="511">
        <f t="shared" si="21"/>
        <v>0</v>
      </c>
      <c r="G147" s="511">
        <f t="shared" si="22"/>
        <v>0</v>
      </c>
      <c r="H147" s="631">
        <f t="shared" si="23"/>
        <v>0</v>
      </c>
      <c r="I147" s="632">
        <f t="shared" si="24"/>
        <v>0</v>
      </c>
      <c r="J147" s="505">
        <f t="shared" si="19"/>
        <v>0</v>
      </c>
      <c r="K147" s="505"/>
      <c r="L147" s="513"/>
      <c r="M147" s="505">
        <f t="shared" si="25"/>
        <v>0</v>
      </c>
      <c r="N147" s="513"/>
      <c r="O147" s="505">
        <f t="shared" si="26"/>
        <v>0</v>
      </c>
      <c r="P147" s="505">
        <f t="shared" si="27"/>
        <v>0</v>
      </c>
      <c r="Q147" s="244"/>
      <c r="R147" s="244"/>
      <c r="S147" s="244"/>
      <c r="T147" s="244"/>
      <c r="U147" s="244"/>
    </row>
    <row r="148" spans="2:21" ht="12.5">
      <c r="B148" s="145" t="str">
        <f t="shared" si="18"/>
        <v/>
      </c>
      <c r="C148" s="496">
        <f>IF(D94="","-",+C147+1)</f>
        <v>2061</v>
      </c>
      <c r="D148" s="350">
        <f>IF(F147+SUM(E$100:E147)=D$93,F147,D$93-SUM(E$100:E147))</f>
        <v>0</v>
      </c>
      <c r="E148" s="630">
        <f t="shared" si="20"/>
        <v>0</v>
      </c>
      <c r="F148" s="511">
        <f t="shared" si="21"/>
        <v>0</v>
      </c>
      <c r="G148" s="511">
        <f t="shared" si="22"/>
        <v>0</v>
      </c>
      <c r="H148" s="631">
        <f t="shared" si="23"/>
        <v>0</v>
      </c>
      <c r="I148" s="632">
        <f t="shared" si="24"/>
        <v>0</v>
      </c>
      <c r="J148" s="505">
        <f t="shared" si="19"/>
        <v>0</v>
      </c>
      <c r="K148" s="505"/>
      <c r="L148" s="513"/>
      <c r="M148" s="505">
        <f t="shared" si="25"/>
        <v>0</v>
      </c>
      <c r="N148" s="513"/>
      <c r="O148" s="505">
        <f t="shared" si="26"/>
        <v>0</v>
      </c>
      <c r="P148" s="505">
        <f t="shared" si="27"/>
        <v>0</v>
      </c>
      <c r="Q148" s="244"/>
      <c r="R148" s="244"/>
      <c r="S148" s="244"/>
      <c r="T148" s="244"/>
      <c r="U148" s="244"/>
    </row>
    <row r="149" spans="2:21" ht="12.5">
      <c r="B149" s="145" t="str">
        <f t="shared" si="18"/>
        <v/>
      </c>
      <c r="C149" s="496">
        <f>IF(D94="","-",+C148+1)</f>
        <v>2062</v>
      </c>
      <c r="D149" s="350">
        <f>IF(F148+SUM(E$100:E148)=D$93,F148,D$93-SUM(E$100:E148))</f>
        <v>0</v>
      </c>
      <c r="E149" s="630">
        <f t="shared" si="20"/>
        <v>0</v>
      </c>
      <c r="F149" s="511">
        <f t="shared" si="21"/>
        <v>0</v>
      </c>
      <c r="G149" s="511">
        <f t="shared" si="22"/>
        <v>0</v>
      </c>
      <c r="H149" s="631">
        <f t="shared" si="23"/>
        <v>0</v>
      </c>
      <c r="I149" s="632">
        <f t="shared" si="24"/>
        <v>0</v>
      </c>
      <c r="J149" s="505">
        <f t="shared" si="19"/>
        <v>0</v>
      </c>
      <c r="K149" s="505"/>
      <c r="L149" s="513"/>
      <c r="M149" s="505">
        <f t="shared" si="25"/>
        <v>0</v>
      </c>
      <c r="N149" s="513"/>
      <c r="O149" s="505">
        <f t="shared" si="26"/>
        <v>0</v>
      </c>
      <c r="P149" s="505">
        <f t="shared" si="27"/>
        <v>0</v>
      </c>
      <c r="Q149" s="244"/>
      <c r="R149" s="244"/>
      <c r="S149" s="244"/>
      <c r="T149" s="244"/>
      <c r="U149" s="244"/>
    </row>
    <row r="150" spans="2:21" ht="12.5">
      <c r="B150" s="145" t="str">
        <f t="shared" si="18"/>
        <v/>
      </c>
      <c r="C150" s="496">
        <f>IF(D94="","-",+C149+1)</f>
        <v>2063</v>
      </c>
      <c r="D150" s="350">
        <f>IF(F149+SUM(E$100:E149)=D$93,F149,D$93-SUM(E$100:E149))</f>
        <v>0</v>
      </c>
      <c r="E150" s="630">
        <f t="shared" si="20"/>
        <v>0</v>
      </c>
      <c r="F150" s="511">
        <f t="shared" si="21"/>
        <v>0</v>
      </c>
      <c r="G150" s="511">
        <f t="shared" si="22"/>
        <v>0</v>
      </c>
      <c r="H150" s="631">
        <f t="shared" si="23"/>
        <v>0</v>
      </c>
      <c r="I150" s="632">
        <f t="shared" si="24"/>
        <v>0</v>
      </c>
      <c r="J150" s="505">
        <f t="shared" si="19"/>
        <v>0</v>
      </c>
      <c r="K150" s="505"/>
      <c r="L150" s="513"/>
      <c r="M150" s="505">
        <f t="shared" si="25"/>
        <v>0</v>
      </c>
      <c r="N150" s="513"/>
      <c r="O150" s="505">
        <f t="shared" si="26"/>
        <v>0</v>
      </c>
      <c r="P150" s="505">
        <f t="shared" si="27"/>
        <v>0</v>
      </c>
      <c r="Q150" s="244"/>
      <c r="R150" s="244"/>
      <c r="S150" s="244"/>
      <c r="T150" s="244"/>
      <c r="U150" s="244"/>
    </row>
    <row r="151" spans="2:21" ht="12.5">
      <c r="B151" s="145" t="str">
        <f t="shared" si="18"/>
        <v/>
      </c>
      <c r="C151" s="496">
        <f>IF(D94="","-",+C150+1)</f>
        <v>2064</v>
      </c>
      <c r="D151" s="350">
        <f>IF(F150+SUM(E$100:E150)=D$93,F150,D$93-SUM(E$100:E150))</f>
        <v>0</v>
      </c>
      <c r="E151" s="630">
        <f t="shared" si="20"/>
        <v>0</v>
      </c>
      <c r="F151" s="511">
        <f t="shared" si="21"/>
        <v>0</v>
      </c>
      <c r="G151" s="511">
        <f t="shared" si="22"/>
        <v>0</v>
      </c>
      <c r="H151" s="631">
        <f t="shared" si="23"/>
        <v>0</v>
      </c>
      <c r="I151" s="632">
        <f t="shared" si="24"/>
        <v>0</v>
      </c>
      <c r="J151" s="505">
        <f t="shared" si="19"/>
        <v>0</v>
      </c>
      <c r="K151" s="505"/>
      <c r="L151" s="513"/>
      <c r="M151" s="505">
        <f t="shared" si="25"/>
        <v>0</v>
      </c>
      <c r="N151" s="513"/>
      <c r="O151" s="505">
        <f t="shared" si="26"/>
        <v>0</v>
      </c>
      <c r="P151" s="505">
        <f t="shared" si="27"/>
        <v>0</v>
      </c>
      <c r="Q151" s="244"/>
      <c r="R151" s="244"/>
      <c r="S151" s="244"/>
      <c r="T151" s="244"/>
      <c r="U151" s="244"/>
    </row>
    <row r="152" spans="2:21" ht="12.5">
      <c r="B152" s="145" t="str">
        <f t="shared" si="18"/>
        <v/>
      </c>
      <c r="C152" s="496">
        <f>IF(D94="","-",+C151+1)</f>
        <v>2065</v>
      </c>
      <c r="D152" s="350">
        <f>IF(F151+SUM(E$100:E151)=D$93,F151,D$93-SUM(E$100:E151))</f>
        <v>0</v>
      </c>
      <c r="E152" s="630">
        <f t="shared" si="20"/>
        <v>0</v>
      </c>
      <c r="F152" s="511">
        <f t="shared" si="21"/>
        <v>0</v>
      </c>
      <c r="G152" s="511">
        <f t="shared" si="22"/>
        <v>0</v>
      </c>
      <c r="H152" s="631">
        <f t="shared" si="23"/>
        <v>0</v>
      </c>
      <c r="I152" s="632">
        <f t="shared" si="24"/>
        <v>0</v>
      </c>
      <c r="J152" s="505">
        <f t="shared" si="19"/>
        <v>0</v>
      </c>
      <c r="K152" s="505"/>
      <c r="L152" s="513"/>
      <c r="M152" s="505">
        <f t="shared" si="25"/>
        <v>0</v>
      </c>
      <c r="N152" s="513"/>
      <c r="O152" s="505">
        <f t="shared" si="26"/>
        <v>0</v>
      </c>
      <c r="P152" s="505">
        <f t="shared" si="27"/>
        <v>0</v>
      </c>
      <c r="Q152" s="244"/>
      <c r="R152" s="244"/>
      <c r="S152" s="244"/>
      <c r="T152" s="244"/>
      <c r="U152" s="244"/>
    </row>
    <row r="153" spans="2:21" ht="12.5">
      <c r="B153" s="145" t="str">
        <f t="shared" si="18"/>
        <v/>
      </c>
      <c r="C153" s="496">
        <f>IF(D94="","-",+C152+1)</f>
        <v>2066</v>
      </c>
      <c r="D153" s="350">
        <f>IF(F152+SUM(E$100:E152)=D$93,F152,D$93-SUM(E$100:E152))</f>
        <v>0</v>
      </c>
      <c r="E153" s="630">
        <f t="shared" si="20"/>
        <v>0</v>
      </c>
      <c r="F153" s="511">
        <f t="shared" si="21"/>
        <v>0</v>
      </c>
      <c r="G153" s="511">
        <f t="shared" si="22"/>
        <v>0</v>
      </c>
      <c r="H153" s="631">
        <f t="shared" si="23"/>
        <v>0</v>
      </c>
      <c r="I153" s="632">
        <f t="shared" si="24"/>
        <v>0</v>
      </c>
      <c r="J153" s="505">
        <f t="shared" si="19"/>
        <v>0</v>
      </c>
      <c r="K153" s="505"/>
      <c r="L153" s="513"/>
      <c r="M153" s="505">
        <f t="shared" si="25"/>
        <v>0</v>
      </c>
      <c r="N153" s="513"/>
      <c r="O153" s="505">
        <f t="shared" si="26"/>
        <v>0</v>
      </c>
      <c r="P153" s="505">
        <f t="shared" si="27"/>
        <v>0</v>
      </c>
      <c r="Q153" s="244"/>
      <c r="R153" s="244"/>
      <c r="S153" s="244"/>
      <c r="T153" s="244"/>
      <c r="U153" s="244"/>
    </row>
    <row r="154" spans="2:21" ht="12.5">
      <c r="B154" s="145" t="str">
        <f t="shared" si="18"/>
        <v/>
      </c>
      <c r="C154" s="496">
        <f>IF(D94="","-",+C153+1)</f>
        <v>2067</v>
      </c>
      <c r="D154" s="350">
        <f>IF(F153+SUM(E$100:E153)=D$93,F153,D$93-SUM(E$100:E153))</f>
        <v>0</v>
      </c>
      <c r="E154" s="630">
        <f t="shared" si="20"/>
        <v>0</v>
      </c>
      <c r="F154" s="511">
        <f t="shared" si="21"/>
        <v>0</v>
      </c>
      <c r="G154" s="511">
        <f t="shared" si="22"/>
        <v>0</v>
      </c>
      <c r="H154" s="631">
        <f t="shared" si="23"/>
        <v>0</v>
      </c>
      <c r="I154" s="632">
        <f t="shared" si="24"/>
        <v>0</v>
      </c>
      <c r="J154" s="505">
        <f t="shared" si="19"/>
        <v>0</v>
      </c>
      <c r="K154" s="505"/>
      <c r="L154" s="513"/>
      <c r="M154" s="505">
        <f t="shared" si="25"/>
        <v>0</v>
      </c>
      <c r="N154" s="513"/>
      <c r="O154" s="505">
        <f t="shared" si="26"/>
        <v>0</v>
      </c>
      <c r="P154" s="505">
        <f t="shared" si="27"/>
        <v>0</v>
      </c>
      <c r="Q154" s="244"/>
      <c r="R154" s="244"/>
      <c r="S154" s="244"/>
      <c r="T154" s="244"/>
      <c r="U154" s="244"/>
    </row>
    <row r="155" spans="2:21" ht="13" thickBot="1">
      <c r="B155" s="145" t="str">
        <f t="shared" si="18"/>
        <v/>
      </c>
      <c r="C155" s="525">
        <f>IF(D94="","-",+C154+1)</f>
        <v>2068</v>
      </c>
      <c r="D155" s="619">
        <f>IF(F154+SUM(E$100:E154)=D$93,F154,D$93-SUM(E$100:E154))</f>
        <v>0</v>
      </c>
      <c r="E155" s="633">
        <f t="shared" si="20"/>
        <v>0</v>
      </c>
      <c r="F155" s="528">
        <f t="shared" si="21"/>
        <v>0</v>
      </c>
      <c r="G155" s="528">
        <f t="shared" si="22"/>
        <v>0</v>
      </c>
      <c r="H155" s="634">
        <f t="shared" si="23"/>
        <v>0</v>
      </c>
      <c r="I155" s="635">
        <f t="shared" si="24"/>
        <v>0</v>
      </c>
      <c r="J155" s="532">
        <f t="shared" si="19"/>
        <v>0</v>
      </c>
      <c r="K155" s="505"/>
      <c r="L155" s="531"/>
      <c r="M155" s="532">
        <f t="shared" si="25"/>
        <v>0</v>
      </c>
      <c r="N155" s="531"/>
      <c r="O155" s="532">
        <f t="shared" si="26"/>
        <v>0</v>
      </c>
      <c r="P155" s="532">
        <f t="shared" si="27"/>
        <v>0</v>
      </c>
      <c r="Q155" s="244"/>
      <c r="R155" s="244"/>
      <c r="S155" s="244"/>
      <c r="T155" s="244"/>
      <c r="U155" s="244"/>
    </row>
    <row r="156" spans="2:21" ht="12.5">
      <c r="C156" s="350" t="s">
        <v>75</v>
      </c>
      <c r="D156" s="295"/>
      <c r="E156" s="295">
        <f>SUM(E100:E155)</f>
        <v>13254470</v>
      </c>
      <c r="F156" s="295"/>
      <c r="G156" s="295"/>
      <c r="H156" s="295">
        <f>SUM(H100:H155)</f>
        <v>38262706.235306814</v>
      </c>
      <c r="I156" s="295">
        <f>SUM(I100:I155)</f>
        <v>38262706.235306814</v>
      </c>
      <c r="J156" s="295">
        <f>SUM(J100:J155)</f>
        <v>0</v>
      </c>
      <c r="K156" s="295"/>
      <c r="L156" s="295"/>
      <c r="M156" s="295"/>
      <c r="N156" s="295"/>
      <c r="O156" s="295"/>
      <c r="P156" s="244"/>
      <c r="Q156" s="244"/>
      <c r="R156" s="244"/>
      <c r="S156" s="244"/>
      <c r="T156" s="244"/>
      <c r="U156" s="244"/>
    </row>
    <row r="157" spans="2:21" ht="12.5">
      <c r="C157" s="145" t="s">
        <v>90</v>
      </c>
      <c r="D157" s="293"/>
      <c r="E157" s="244"/>
      <c r="F157" s="244"/>
      <c r="G157" s="244"/>
      <c r="H157" s="244"/>
      <c r="I157" s="326"/>
      <c r="J157" s="326"/>
      <c r="K157" s="295"/>
      <c r="L157" s="326"/>
      <c r="M157" s="326"/>
      <c r="N157" s="326"/>
      <c r="O157" s="326"/>
      <c r="P157" s="244"/>
      <c r="Q157" s="244"/>
      <c r="R157" s="244"/>
      <c r="S157" s="244"/>
      <c r="T157" s="244"/>
      <c r="U157" s="244"/>
    </row>
    <row r="158" spans="2:21" ht="12.5">
      <c r="C158" s="575"/>
      <c r="D158" s="293"/>
      <c r="E158" s="244"/>
      <c r="F158" s="244"/>
      <c r="G158" s="244"/>
      <c r="H158" s="244"/>
      <c r="I158" s="326"/>
      <c r="J158" s="326"/>
      <c r="K158" s="295"/>
      <c r="L158" s="326"/>
      <c r="M158" s="326"/>
      <c r="N158" s="326"/>
      <c r="O158" s="326"/>
      <c r="P158" s="244"/>
      <c r="Q158" s="244"/>
      <c r="R158" s="244"/>
      <c r="S158" s="244"/>
      <c r="T158" s="244"/>
      <c r="U158" s="244"/>
    </row>
    <row r="159" spans="2:21" ht="13">
      <c r="C159" s="620" t="s">
        <v>130</v>
      </c>
      <c r="D159" s="293"/>
      <c r="E159" s="244"/>
      <c r="F159" s="244"/>
      <c r="G159" s="244"/>
      <c r="H159" s="244"/>
      <c r="I159" s="326"/>
      <c r="J159" s="326"/>
      <c r="K159" s="295"/>
      <c r="L159" s="326"/>
      <c r="M159" s="326"/>
      <c r="N159" s="326"/>
      <c r="O159" s="326"/>
      <c r="P159" s="244"/>
      <c r="Q159" s="244"/>
      <c r="R159" s="244"/>
      <c r="S159" s="244"/>
      <c r="T159" s="244"/>
      <c r="U159" s="244"/>
    </row>
    <row r="160" spans="2:21" ht="13">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ht="13">
      <c r="C162" s="576"/>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25" priority="1" stopIfTrue="1" operator="equal">
      <formula>$I$10</formula>
    </cfRule>
  </conditionalFormatting>
  <conditionalFormatting sqref="C100:C155">
    <cfRule type="cellIs" dxfId="24"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9" tint="0.39997558519241921"/>
  </sheetPr>
  <dimension ref="A1:U163"/>
  <sheetViews>
    <sheetView view="pageBreakPreview" topLeftCell="A67" zoomScale="78" zoomScaleNormal="100" zoomScaleSheetLayoutView="78" workbookViewId="0">
      <selection activeCell="D24" sqref="D24"/>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"&amp;RIGHT(MID(CELL("filename",$A$1),FIND("]",CELL("filename",$A$1))+1,256),2)&amp;" of "&amp;COUNT('OKT.001:OKT.xyz - blank'!$P$3)-1</f>
        <v>OKT Project 13 of 19</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0</v>
      </c>
      <c r="P5" s="244"/>
      <c r="R5" s="244"/>
      <c r="S5" s="244"/>
      <c r="T5" s="244"/>
      <c r="U5" s="244"/>
    </row>
    <row r="6" spans="1:21" ht="15.5">
      <c r="C6" s="637" t="s">
        <v>267</v>
      </c>
      <c r="D6" s="293"/>
      <c r="E6" s="244"/>
      <c r="F6" s="244"/>
      <c r="G6" s="244"/>
      <c r="H6" s="450"/>
      <c r="I6" s="450"/>
      <c r="J6" s="451"/>
      <c r="K6" s="452" t="s">
        <v>243</v>
      </c>
      <c r="L6" s="453"/>
      <c r="M6" s="279"/>
      <c r="N6" s="454">
        <f>VLOOKUP(I10,C17:I73,6)</f>
        <v>0</v>
      </c>
      <c r="O6" s="244"/>
      <c r="P6" s="244"/>
      <c r="R6" s="244"/>
      <c r="S6" s="244"/>
      <c r="T6" s="244"/>
      <c r="U6" s="244"/>
    </row>
    <row r="7" spans="1:21" ht="13.5" thickBot="1">
      <c r="C7" s="455" t="s">
        <v>46</v>
      </c>
      <c r="D7" s="456" t="s">
        <v>231</v>
      </c>
      <c r="E7" s="244"/>
      <c r="F7" s="244"/>
      <c r="G7" s="244"/>
      <c r="H7" s="326"/>
      <c r="I7" s="326"/>
      <c r="J7" s="295"/>
      <c r="K7" s="457" t="s">
        <v>47</v>
      </c>
      <c r="L7" s="458"/>
      <c r="M7" s="458"/>
      <c r="N7" s="459">
        <f>+N6-N5</f>
        <v>0</v>
      </c>
      <c r="O7" s="244"/>
      <c r="P7" s="244"/>
      <c r="R7" s="244"/>
      <c r="S7" s="244"/>
      <c r="T7" s="244"/>
      <c r="U7" s="244"/>
    </row>
    <row r="8" spans="1:21" ht="13.5" thickBot="1">
      <c r="C8" s="460"/>
      <c r="D8" s="626" t="s">
        <v>230</v>
      </c>
      <c r="E8" s="462"/>
      <c r="F8" s="462"/>
      <c r="G8" s="462"/>
      <c r="H8" s="462"/>
      <c r="I8" s="462"/>
      <c r="J8" s="463"/>
      <c r="K8" s="462"/>
      <c r="L8" s="462"/>
      <c r="M8" s="462"/>
      <c r="N8" s="462"/>
      <c r="O8" s="463"/>
      <c r="P8" s="249"/>
      <c r="R8" s="244"/>
      <c r="S8" s="244"/>
      <c r="T8" s="244"/>
      <c r="U8" s="244"/>
    </row>
    <row r="9" spans="1:21" ht="13.5" thickBot="1">
      <c r="C9" s="464" t="s">
        <v>48</v>
      </c>
      <c r="D9" s="465" t="s">
        <v>232</v>
      </c>
      <c r="E9" s="466"/>
      <c r="F9" s="466"/>
      <c r="G9" s="466"/>
      <c r="H9" s="466"/>
      <c r="I9" s="467"/>
      <c r="J9" s="468"/>
      <c r="O9" s="469"/>
      <c r="P9" s="279"/>
      <c r="R9" s="244"/>
      <c r="S9" s="244"/>
      <c r="T9" s="244"/>
      <c r="U9" s="244"/>
    </row>
    <row r="10" spans="1:21" ht="13">
      <c r="C10" s="470" t="s">
        <v>49</v>
      </c>
      <c r="D10" s="471">
        <v>4817114</v>
      </c>
      <c r="E10" s="300" t="s">
        <v>50</v>
      </c>
      <c r="F10" s="469"/>
      <c r="G10" s="409"/>
      <c r="H10" s="409"/>
      <c r="I10" s="472">
        <f>+OKT.WS.F.BPU.ATRR.Projected!R100</f>
        <v>2019</v>
      </c>
      <c r="J10" s="468"/>
      <c r="K10" s="295" t="s">
        <v>51</v>
      </c>
      <c r="O10" s="279"/>
      <c r="P10" s="279"/>
      <c r="R10" s="244"/>
      <c r="S10" s="244"/>
      <c r="T10" s="244"/>
      <c r="U10" s="244"/>
    </row>
    <row r="11" spans="1:21" ht="12.5">
      <c r="C11" s="473" t="s">
        <v>52</v>
      </c>
      <c r="D11" s="474">
        <v>2013</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10</v>
      </c>
      <c r="E12" s="473" t="s">
        <v>55</v>
      </c>
      <c r="F12" s="409"/>
      <c r="G12" s="221"/>
      <c r="H12" s="221"/>
      <c r="I12" s="477">
        <f>OKT.WS.F.BPU.ATRR.Projected!$F$78</f>
        <v>0.11749102697326873</v>
      </c>
      <c r="J12" s="414"/>
      <c r="K12" s="145" t="s">
        <v>56</v>
      </c>
      <c r="O12" s="279"/>
      <c r="P12" s="279"/>
      <c r="R12" s="244"/>
      <c r="S12" s="244"/>
      <c r="T12" s="244"/>
      <c r="U12" s="244"/>
    </row>
    <row r="13" spans="1:21" ht="12.5">
      <c r="C13" s="473" t="s">
        <v>57</v>
      </c>
      <c r="D13" s="475">
        <f>+OKT.WS.F.BPU.ATRR.Projected!F$89</f>
        <v>41</v>
      </c>
      <c r="E13" s="473" t="s">
        <v>58</v>
      </c>
      <c r="F13" s="409"/>
      <c r="G13" s="221"/>
      <c r="H13" s="221"/>
      <c r="I13" s="477">
        <f>IF(G5="",I12,OKT.WS.F.BPU.ATRR.Projected!$F$77)</f>
        <v>0.11749102697326873</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117490.58536585367</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73" si="0">IF(D17=F16,"","IU")</f>
        <v>IU</v>
      </c>
      <c r="C17" s="496">
        <f>IF(D11= "","-",D11)</f>
        <v>2013</v>
      </c>
      <c r="D17" s="613">
        <v>4086696.07</v>
      </c>
      <c r="E17" s="621">
        <v>11782.768994177641</v>
      </c>
      <c r="F17" s="613">
        <v>4074913.3010058221</v>
      </c>
      <c r="G17" s="621">
        <v>123870.72395190655</v>
      </c>
      <c r="H17" s="618">
        <v>123870.72395190655</v>
      </c>
      <c r="I17" s="636">
        <v>0</v>
      </c>
      <c r="J17" s="501"/>
      <c r="K17" s="502">
        <f t="shared" ref="K17:K22" si="1">G17</f>
        <v>123870.72395190655</v>
      </c>
      <c r="L17" s="503">
        <f t="shared" ref="L17:L73" si="2">IF(K17&lt;&gt;0,+G17-K17,0)</f>
        <v>0</v>
      </c>
      <c r="M17" s="502">
        <f t="shared" ref="M17:M22" si="3">H17</f>
        <v>123870.72395190655</v>
      </c>
      <c r="N17" s="504">
        <f t="shared" ref="N17:N73" si="4">IF(M17&lt;&gt;0,+H17-M17,0)</f>
        <v>0</v>
      </c>
      <c r="O17" s="505">
        <f t="shared" ref="O17:O73" si="5">+N17-L17</f>
        <v>0</v>
      </c>
      <c r="P17" s="279"/>
      <c r="R17" s="244"/>
      <c r="S17" s="244"/>
      <c r="T17" s="244"/>
      <c r="U17" s="244"/>
    </row>
    <row r="18" spans="2:21" ht="12.5">
      <c r="B18" s="145" t="str">
        <f t="shared" si="0"/>
        <v/>
      </c>
      <c r="C18" s="496">
        <f>IF(D11="","-",+C17+1)</f>
        <v>2014</v>
      </c>
      <c r="D18" s="615">
        <v>4074913.3010058221</v>
      </c>
      <c r="E18" s="614">
        <v>70696.613965065844</v>
      </c>
      <c r="F18" s="615">
        <v>4004216.6870407565</v>
      </c>
      <c r="G18" s="614">
        <v>511269.87430631154</v>
      </c>
      <c r="H18" s="618">
        <v>511269.87430631154</v>
      </c>
      <c r="I18" s="636">
        <v>0</v>
      </c>
      <c r="J18" s="501"/>
      <c r="K18" s="593">
        <f t="shared" si="1"/>
        <v>511269.87430631154</v>
      </c>
      <c r="L18" s="597">
        <f t="shared" si="2"/>
        <v>0</v>
      </c>
      <c r="M18" s="593">
        <f t="shared" si="3"/>
        <v>511269.87430631154</v>
      </c>
      <c r="N18" s="595">
        <f t="shared" si="4"/>
        <v>0</v>
      </c>
      <c r="O18" s="597">
        <f t="shared" si="5"/>
        <v>0</v>
      </c>
      <c r="P18" s="279"/>
      <c r="R18" s="244"/>
      <c r="S18" s="244"/>
      <c r="T18" s="244"/>
      <c r="U18" s="244"/>
    </row>
    <row r="19" spans="2:21" ht="12.5">
      <c r="B19" s="145" t="str">
        <f t="shared" si="0"/>
        <v/>
      </c>
      <c r="C19" s="496">
        <f>IF(D11="","-",+C18+1)</f>
        <v>2015</v>
      </c>
      <c r="D19" s="615">
        <v>4004216.6870407565</v>
      </c>
      <c r="E19" s="614">
        <v>70696.613965065844</v>
      </c>
      <c r="F19" s="615">
        <v>3933520.0730756908</v>
      </c>
      <c r="G19" s="614">
        <v>476106.58378878143</v>
      </c>
      <c r="H19" s="618">
        <v>476106.58378878143</v>
      </c>
      <c r="I19" s="585">
        <v>0</v>
      </c>
      <c r="J19" s="501"/>
      <c r="K19" s="593">
        <f t="shared" si="1"/>
        <v>476106.58378878143</v>
      </c>
      <c r="L19" s="597">
        <f>IF(K19&lt;&gt;0,+G19-K19,0)</f>
        <v>0</v>
      </c>
      <c r="M19" s="593">
        <f t="shared" si="3"/>
        <v>476106.58378878143</v>
      </c>
      <c r="N19" s="595">
        <f>IF(M19&lt;&gt;0,+H19-M19,0)</f>
        <v>0</v>
      </c>
      <c r="O19" s="597">
        <f>+N19-L19</f>
        <v>0</v>
      </c>
      <c r="P19" s="279"/>
      <c r="R19" s="244"/>
      <c r="S19" s="244"/>
      <c r="T19" s="244"/>
      <c r="U19" s="244"/>
    </row>
    <row r="20" spans="2:21" ht="12.5">
      <c r="B20" s="145" t="str">
        <f t="shared" si="0"/>
        <v/>
      </c>
      <c r="C20" s="496">
        <f>IF(D11="","-",+C19+1)</f>
        <v>2016</v>
      </c>
      <c r="D20" s="615">
        <v>3933520.0730756908</v>
      </c>
      <c r="E20" s="614">
        <v>84919.313620452886</v>
      </c>
      <c r="F20" s="615">
        <v>3848600.759455238</v>
      </c>
      <c r="G20" s="614">
        <v>500107.78781700449</v>
      </c>
      <c r="H20" s="618">
        <v>500107.78781700449</v>
      </c>
      <c r="I20" s="501">
        <f>H20-G20</f>
        <v>0</v>
      </c>
      <c r="J20" s="501"/>
      <c r="K20" s="593">
        <f t="shared" si="1"/>
        <v>500107.78781700449</v>
      </c>
      <c r="L20" s="597">
        <f>IF(K20&lt;&gt;0,+G20-K20,0)</f>
        <v>0</v>
      </c>
      <c r="M20" s="593">
        <f t="shared" si="3"/>
        <v>500107.78781700449</v>
      </c>
      <c r="N20" s="505">
        <f t="shared" si="4"/>
        <v>0</v>
      </c>
      <c r="O20" s="505">
        <f t="shared" si="5"/>
        <v>0</v>
      </c>
      <c r="P20" s="279"/>
      <c r="R20" s="244"/>
      <c r="S20" s="244"/>
      <c r="T20" s="244"/>
      <c r="U20" s="244"/>
    </row>
    <row r="21" spans="2:21" ht="12.5">
      <c r="B21" s="145" t="str">
        <f t="shared" si="0"/>
        <v>IU</v>
      </c>
      <c r="C21" s="496">
        <f>IF(D11="","-",+C20+1)</f>
        <v>2017</v>
      </c>
      <c r="D21" s="615">
        <v>4561942.6894552382</v>
      </c>
      <c r="E21" s="614">
        <v>94378.250117010364</v>
      </c>
      <c r="F21" s="615">
        <v>4467564.4393382277</v>
      </c>
      <c r="G21" s="614">
        <v>590730.13217900996</v>
      </c>
      <c r="H21" s="618">
        <v>590730.13217900996</v>
      </c>
      <c r="I21" s="501">
        <f t="shared" ref="I21:I73" si="6">H21-G21</f>
        <v>0</v>
      </c>
      <c r="J21" s="501"/>
      <c r="K21" s="593">
        <f t="shared" si="1"/>
        <v>590730.13217900996</v>
      </c>
      <c r="L21" s="597">
        <f>IF(K21&lt;&gt;0,+G21-K21,0)</f>
        <v>0</v>
      </c>
      <c r="M21" s="593">
        <f t="shared" si="3"/>
        <v>590730.13217900996</v>
      </c>
      <c r="N21" s="505">
        <f>IF(M21&lt;&gt;0,+H21-M21,0)</f>
        <v>0</v>
      </c>
      <c r="O21" s="505">
        <f>+N21-L21</f>
        <v>0</v>
      </c>
      <c r="P21" s="279"/>
      <c r="R21" s="244"/>
      <c r="S21" s="244"/>
      <c r="T21" s="244"/>
      <c r="U21" s="244"/>
    </row>
    <row r="22" spans="2:21" ht="12.5">
      <c r="B22" s="145" t="str">
        <f t="shared" si="0"/>
        <v>IU</v>
      </c>
      <c r="C22" s="496">
        <f>IF(D11="","-",+C21+1)</f>
        <v>2018</v>
      </c>
      <c r="D22" s="615"/>
      <c r="E22" s="614"/>
      <c r="F22" s="615"/>
      <c r="G22" s="614"/>
      <c r="H22" s="618"/>
      <c r="I22" s="501">
        <v>0</v>
      </c>
      <c r="J22" s="501"/>
      <c r="K22" s="593">
        <f t="shared" si="1"/>
        <v>0</v>
      </c>
      <c r="L22" s="597">
        <f>IF(K22&lt;&gt;0,+G22-K22,0)</f>
        <v>0</v>
      </c>
      <c r="M22" s="593">
        <f t="shared" si="3"/>
        <v>0</v>
      </c>
      <c r="N22" s="505">
        <f>IF(M22&lt;&gt;0,+H22-M22,0)</f>
        <v>0</v>
      </c>
      <c r="O22" s="505">
        <f>+N22-L22</f>
        <v>0</v>
      </c>
      <c r="P22" s="279"/>
      <c r="R22" s="244"/>
      <c r="S22" s="244"/>
      <c r="T22" s="244"/>
      <c r="U22" s="244"/>
    </row>
    <row r="23" spans="2:21" ht="12.5">
      <c r="B23" s="145" t="str">
        <f t="shared" si="0"/>
        <v/>
      </c>
      <c r="C23" s="496">
        <f>IF(D11="","-",+C22+1)</f>
        <v>2019</v>
      </c>
      <c r="D23" s="509">
        <v>0</v>
      </c>
      <c r="E23" s="510">
        <f t="shared" ref="E23:E73" si="7">IF(+$I$14&lt;F22,$I$14,D23)</f>
        <v>0</v>
      </c>
      <c r="F23" s="511">
        <f t="shared" ref="F23:F73" si="8">+D23-E23</f>
        <v>0</v>
      </c>
      <c r="G23" s="512">
        <f t="shared" ref="G23:G73" si="9">(D23+F23)/2*I$12+E23</f>
        <v>0</v>
      </c>
      <c r="H23" s="478">
        <f t="shared" ref="H23:H73" si="10">+(D23+F23)/2*I$13+E23</f>
        <v>0</v>
      </c>
      <c r="I23" s="501">
        <f t="shared" si="6"/>
        <v>0</v>
      </c>
      <c r="J23" s="501"/>
      <c r="K23" s="513"/>
      <c r="L23" s="505">
        <f t="shared" si="2"/>
        <v>0</v>
      </c>
      <c r="M23" s="513"/>
      <c r="N23" s="505">
        <f t="shared" si="4"/>
        <v>0</v>
      </c>
      <c r="O23" s="505">
        <f t="shared" si="5"/>
        <v>0</v>
      </c>
      <c r="P23" s="279"/>
      <c r="R23" s="244"/>
      <c r="S23" s="244"/>
      <c r="T23" s="244"/>
      <c r="U23" s="244"/>
    </row>
    <row r="24" spans="2:21" ht="12.5">
      <c r="B24" s="145" t="str">
        <f t="shared" si="0"/>
        <v>IU</v>
      </c>
      <c r="C24" s="496">
        <f>IF(D11="","-",+C23+1)</f>
        <v>2020</v>
      </c>
      <c r="D24" s="509">
        <f>IF(F23+SUM(E$17:E23)=D$10,F23,D$10-SUM(E$17:E23))</f>
        <v>4484640.4393382277</v>
      </c>
      <c r="E24" s="510">
        <f t="shared" si="7"/>
        <v>4484640.4393382277</v>
      </c>
      <c r="F24" s="511">
        <f t="shared" si="8"/>
        <v>0</v>
      </c>
      <c r="G24" s="512">
        <f t="shared" si="9"/>
        <v>4748092.9447500771</v>
      </c>
      <c r="H24" s="478">
        <f t="shared" si="10"/>
        <v>4748092.9447500771</v>
      </c>
      <c r="I24" s="501">
        <f t="shared" si="6"/>
        <v>0</v>
      </c>
      <c r="J24" s="501"/>
      <c r="K24" s="513"/>
      <c r="L24" s="505">
        <f t="shared" si="2"/>
        <v>0</v>
      </c>
      <c r="M24" s="513"/>
      <c r="N24" s="505">
        <f t="shared" si="4"/>
        <v>0</v>
      </c>
      <c r="O24" s="505">
        <f t="shared" si="5"/>
        <v>0</v>
      </c>
      <c r="P24" s="279"/>
      <c r="R24" s="244"/>
      <c r="S24" s="244"/>
      <c r="T24" s="244"/>
      <c r="U24" s="244"/>
    </row>
    <row r="25" spans="2:21" ht="12.5">
      <c r="B25" s="145" t="str">
        <f t="shared" si="0"/>
        <v/>
      </c>
      <c r="C25" s="496">
        <f>IF(D11="","-",+C24+1)</f>
        <v>2021</v>
      </c>
      <c r="D25" s="509">
        <f>IF(F24+SUM(E$17:E24)=D$10,F24,D$10-SUM(E$17:E24))</f>
        <v>0</v>
      </c>
      <c r="E25" s="510">
        <f t="shared" si="7"/>
        <v>0</v>
      </c>
      <c r="F25" s="511">
        <f t="shared" si="8"/>
        <v>0</v>
      </c>
      <c r="G25" s="512">
        <f t="shared" si="9"/>
        <v>0</v>
      </c>
      <c r="H25" s="478">
        <f t="shared" si="10"/>
        <v>0</v>
      </c>
      <c r="I25" s="501">
        <f t="shared" si="6"/>
        <v>0</v>
      </c>
      <c r="J25" s="501"/>
      <c r="K25" s="513"/>
      <c r="L25" s="505">
        <f t="shared" si="2"/>
        <v>0</v>
      </c>
      <c r="M25" s="513"/>
      <c r="N25" s="505">
        <f t="shared" si="4"/>
        <v>0</v>
      </c>
      <c r="O25" s="505">
        <f t="shared" si="5"/>
        <v>0</v>
      </c>
      <c r="P25" s="279"/>
      <c r="R25" s="244"/>
      <c r="S25" s="244"/>
      <c r="T25" s="244"/>
      <c r="U25" s="244"/>
    </row>
    <row r="26" spans="2:21" ht="12.5">
      <c r="B26" s="145" t="str">
        <f t="shared" si="0"/>
        <v/>
      </c>
      <c r="C26" s="496">
        <f>IF(D11="","-",+C25+1)</f>
        <v>2022</v>
      </c>
      <c r="D26" s="509">
        <f>IF(F25+SUM(E$17:E25)=D$10,F25,D$10-SUM(E$17:E25))</f>
        <v>0</v>
      </c>
      <c r="E26" s="510">
        <f t="shared" si="7"/>
        <v>0</v>
      </c>
      <c r="F26" s="511">
        <f t="shared" si="8"/>
        <v>0</v>
      </c>
      <c r="G26" s="512">
        <f t="shared" si="9"/>
        <v>0</v>
      </c>
      <c r="H26" s="478">
        <f t="shared" si="10"/>
        <v>0</v>
      </c>
      <c r="I26" s="501">
        <f t="shared" si="6"/>
        <v>0</v>
      </c>
      <c r="J26" s="501"/>
      <c r="K26" s="513"/>
      <c r="L26" s="505">
        <f t="shared" si="2"/>
        <v>0</v>
      </c>
      <c r="M26" s="513"/>
      <c r="N26" s="505">
        <f t="shared" si="4"/>
        <v>0</v>
      </c>
      <c r="O26" s="505">
        <f t="shared" si="5"/>
        <v>0</v>
      </c>
      <c r="P26" s="279"/>
      <c r="R26" s="244"/>
      <c r="S26" s="244"/>
      <c r="T26" s="244"/>
      <c r="U26" s="244"/>
    </row>
    <row r="27" spans="2:21" ht="12.5">
      <c r="B27" s="145" t="str">
        <f t="shared" si="0"/>
        <v/>
      </c>
      <c r="C27" s="496">
        <f>IF(D11="","-",+C26+1)</f>
        <v>2023</v>
      </c>
      <c r="D27" s="509">
        <f>IF(F26+SUM(E$17:E26)=D$10,F26,D$10-SUM(E$17:E26))</f>
        <v>0</v>
      </c>
      <c r="E27" s="510">
        <f t="shared" si="7"/>
        <v>0</v>
      </c>
      <c r="F27" s="511">
        <f t="shared" si="8"/>
        <v>0</v>
      </c>
      <c r="G27" s="512">
        <f t="shared" si="9"/>
        <v>0</v>
      </c>
      <c r="H27" s="478">
        <f t="shared" si="10"/>
        <v>0</v>
      </c>
      <c r="I27" s="501">
        <f t="shared" si="6"/>
        <v>0</v>
      </c>
      <c r="J27" s="501"/>
      <c r="K27" s="513"/>
      <c r="L27" s="505">
        <f t="shared" si="2"/>
        <v>0</v>
      </c>
      <c r="M27" s="513"/>
      <c r="N27" s="505">
        <f t="shared" si="4"/>
        <v>0</v>
      </c>
      <c r="O27" s="505">
        <f t="shared" si="5"/>
        <v>0</v>
      </c>
      <c r="P27" s="279"/>
      <c r="R27" s="244"/>
      <c r="S27" s="244"/>
      <c r="T27" s="244"/>
      <c r="U27" s="244"/>
    </row>
    <row r="28" spans="2:21" ht="12.5">
      <c r="B28" s="145" t="str">
        <f t="shared" si="0"/>
        <v/>
      </c>
      <c r="C28" s="496">
        <f>IF(D11="","-",+C27+1)</f>
        <v>2024</v>
      </c>
      <c r="D28" s="509">
        <f>IF(F27+SUM(E$17:E27)=D$10,F27,D$10-SUM(E$17:E27))</f>
        <v>0</v>
      </c>
      <c r="E28" s="510">
        <f t="shared" si="7"/>
        <v>0</v>
      </c>
      <c r="F28" s="511">
        <f t="shared" si="8"/>
        <v>0</v>
      </c>
      <c r="G28" s="512">
        <f t="shared" si="9"/>
        <v>0</v>
      </c>
      <c r="H28" s="478">
        <f t="shared" si="10"/>
        <v>0</v>
      </c>
      <c r="I28" s="501">
        <f t="shared" si="6"/>
        <v>0</v>
      </c>
      <c r="J28" s="501"/>
      <c r="K28" s="513"/>
      <c r="L28" s="505">
        <f t="shared" si="2"/>
        <v>0</v>
      </c>
      <c r="M28" s="513"/>
      <c r="N28" s="505">
        <f t="shared" si="4"/>
        <v>0</v>
      </c>
      <c r="O28" s="505">
        <f t="shared" si="5"/>
        <v>0</v>
      </c>
      <c r="P28" s="279"/>
      <c r="R28" s="244"/>
      <c r="S28" s="244"/>
      <c r="T28" s="244"/>
      <c r="U28" s="244"/>
    </row>
    <row r="29" spans="2:21" ht="12.5">
      <c r="B29" s="145" t="str">
        <f t="shared" si="0"/>
        <v/>
      </c>
      <c r="C29" s="496">
        <f>IF(D11="","-",+C28+1)</f>
        <v>2025</v>
      </c>
      <c r="D29" s="509">
        <f>IF(F28+SUM(E$17:E28)=D$10,F28,D$10-SUM(E$17:E28))</f>
        <v>0</v>
      </c>
      <c r="E29" s="510">
        <f t="shared" si="7"/>
        <v>0</v>
      </c>
      <c r="F29" s="511">
        <f t="shared" si="8"/>
        <v>0</v>
      </c>
      <c r="G29" s="512">
        <f t="shared" si="9"/>
        <v>0</v>
      </c>
      <c r="H29" s="478">
        <f t="shared" si="10"/>
        <v>0</v>
      </c>
      <c r="I29" s="501">
        <f t="shared" si="6"/>
        <v>0</v>
      </c>
      <c r="J29" s="501"/>
      <c r="K29" s="513"/>
      <c r="L29" s="505">
        <f t="shared" si="2"/>
        <v>0</v>
      </c>
      <c r="M29" s="513"/>
      <c r="N29" s="505">
        <f t="shared" si="4"/>
        <v>0</v>
      </c>
      <c r="O29" s="505">
        <f t="shared" si="5"/>
        <v>0</v>
      </c>
      <c r="P29" s="279"/>
      <c r="R29" s="244"/>
      <c r="S29" s="244"/>
      <c r="T29" s="244"/>
      <c r="U29" s="244"/>
    </row>
    <row r="30" spans="2:21" ht="12.5">
      <c r="B30" s="145" t="str">
        <f t="shared" si="0"/>
        <v/>
      </c>
      <c r="C30" s="496">
        <f>IF(D11="","-",+C29+1)</f>
        <v>2026</v>
      </c>
      <c r="D30" s="509">
        <f>IF(F29+SUM(E$17:E29)=D$10,F29,D$10-SUM(E$17:E29))</f>
        <v>0</v>
      </c>
      <c r="E30" s="510">
        <f t="shared" si="7"/>
        <v>0</v>
      </c>
      <c r="F30" s="511">
        <f t="shared" si="8"/>
        <v>0</v>
      </c>
      <c r="G30" s="512">
        <f t="shared" si="9"/>
        <v>0</v>
      </c>
      <c r="H30" s="478">
        <f t="shared" si="10"/>
        <v>0</v>
      </c>
      <c r="I30" s="501">
        <f t="shared" si="6"/>
        <v>0</v>
      </c>
      <c r="J30" s="501"/>
      <c r="K30" s="513"/>
      <c r="L30" s="505">
        <f t="shared" si="2"/>
        <v>0</v>
      </c>
      <c r="M30" s="513"/>
      <c r="N30" s="505">
        <f t="shared" si="4"/>
        <v>0</v>
      </c>
      <c r="O30" s="505">
        <f t="shared" si="5"/>
        <v>0</v>
      </c>
      <c r="P30" s="279"/>
      <c r="R30" s="244"/>
      <c r="S30" s="244"/>
      <c r="T30" s="244"/>
      <c r="U30" s="244"/>
    </row>
    <row r="31" spans="2:21" ht="12.5">
      <c r="B31" s="145" t="str">
        <f t="shared" si="0"/>
        <v/>
      </c>
      <c r="C31" s="496">
        <f>IF(D11="","-",+C30+1)</f>
        <v>2027</v>
      </c>
      <c r="D31" s="509">
        <f>IF(F30+SUM(E$17:E30)=D$10,F30,D$10-SUM(E$17:E30))</f>
        <v>0</v>
      </c>
      <c r="E31" s="510">
        <f t="shared" si="7"/>
        <v>0</v>
      </c>
      <c r="F31" s="511">
        <f t="shared" si="8"/>
        <v>0</v>
      </c>
      <c r="G31" s="512">
        <f t="shared" si="9"/>
        <v>0</v>
      </c>
      <c r="H31" s="478">
        <f t="shared" si="10"/>
        <v>0</v>
      </c>
      <c r="I31" s="501">
        <f t="shared" si="6"/>
        <v>0</v>
      </c>
      <c r="J31" s="501"/>
      <c r="K31" s="513"/>
      <c r="L31" s="505">
        <f t="shared" si="2"/>
        <v>0</v>
      </c>
      <c r="M31" s="513"/>
      <c r="N31" s="505">
        <f t="shared" si="4"/>
        <v>0</v>
      </c>
      <c r="O31" s="505">
        <f t="shared" si="5"/>
        <v>0</v>
      </c>
      <c r="P31" s="279"/>
      <c r="Q31" s="221"/>
      <c r="R31" s="279"/>
      <c r="S31" s="279"/>
      <c r="T31" s="279"/>
      <c r="U31" s="244"/>
    </row>
    <row r="32" spans="2:21" ht="12.5">
      <c r="B32" s="145" t="str">
        <f t="shared" si="0"/>
        <v/>
      </c>
      <c r="C32" s="496">
        <f>IF(D12="","-",+C31+1)</f>
        <v>2028</v>
      </c>
      <c r="D32" s="509">
        <f>IF(F31+SUM(E$17:E31)=D$10,F31,D$10-SUM(E$17:E31))</f>
        <v>0</v>
      </c>
      <c r="E32" s="510">
        <f>IF(+$I$14&lt;F31,$I$14,D32)</f>
        <v>0</v>
      </c>
      <c r="F32" s="511">
        <f>+D32-E32</f>
        <v>0</v>
      </c>
      <c r="G32" s="512">
        <f t="shared" si="9"/>
        <v>0</v>
      </c>
      <c r="H32" s="478">
        <f t="shared" si="10"/>
        <v>0</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0"/>
        <v/>
      </c>
      <c r="C33" s="496">
        <f>IF(D13="","-",+C32+1)</f>
        <v>2029</v>
      </c>
      <c r="D33" s="509">
        <f>IF(F32+SUM(E$17:E32)=D$10,F32,D$10-SUM(E$17:E32))</f>
        <v>0</v>
      </c>
      <c r="E33" s="510">
        <f>IF(+$I$14&lt;F32,$I$14,D33)</f>
        <v>0</v>
      </c>
      <c r="F33" s="511">
        <f>+D33-E33</f>
        <v>0</v>
      </c>
      <c r="G33" s="512">
        <f t="shared" si="9"/>
        <v>0</v>
      </c>
      <c r="H33" s="478">
        <f t="shared" si="10"/>
        <v>0</v>
      </c>
      <c r="I33" s="501">
        <f>H33-G33</f>
        <v>0</v>
      </c>
      <c r="J33" s="501"/>
      <c r="K33" s="513"/>
      <c r="L33" s="505">
        <f>IF(K33&lt;&gt;0,+G33-K33,0)</f>
        <v>0</v>
      </c>
      <c r="M33" s="513"/>
      <c r="N33" s="505">
        <f>IF(M33&lt;&gt;0,+H33-M33,0)</f>
        <v>0</v>
      </c>
      <c r="O33" s="505">
        <f>+N33-L33</f>
        <v>0</v>
      </c>
      <c r="P33" s="279"/>
      <c r="R33" s="244"/>
      <c r="S33" s="244"/>
      <c r="T33" s="244"/>
      <c r="U33" s="244"/>
    </row>
    <row r="34" spans="2:21" ht="12.5">
      <c r="B34" s="145" t="str">
        <f t="shared" si="0"/>
        <v/>
      </c>
      <c r="C34" s="514">
        <f>IF(D11="","-",+C33+1)</f>
        <v>2030</v>
      </c>
      <c r="D34" s="515">
        <f>IF(F33+SUM(E$17:E33)=D$10,F33,D$10-SUM(E$17:E33))</f>
        <v>0</v>
      </c>
      <c r="E34" s="516">
        <f t="shared" si="7"/>
        <v>0</v>
      </c>
      <c r="F34" s="517">
        <f t="shared" si="8"/>
        <v>0</v>
      </c>
      <c r="G34" s="512">
        <f t="shared" si="9"/>
        <v>0</v>
      </c>
      <c r="H34" s="478">
        <f t="shared" si="10"/>
        <v>0</v>
      </c>
      <c r="I34" s="520">
        <f t="shared" si="6"/>
        <v>0</v>
      </c>
      <c r="J34" s="520"/>
      <c r="K34" s="521"/>
      <c r="L34" s="522">
        <f t="shared" si="2"/>
        <v>0</v>
      </c>
      <c r="M34" s="521"/>
      <c r="N34" s="522">
        <f t="shared" si="4"/>
        <v>0</v>
      </c>
      <c r="O34" s="522">
        <f t="shared" si="5"/>
        <v>0</v>
      </c>
      <c r="P34" s="523"/>
      <c r="Q34" s="217"/>
      <c r="R34" s="523"/>
      <c r="S34" s="523"/>
      <c r="T34" s="523"/>
      <c r="U34" s="244"/>
    </row>
    <row r="35" spans="2:21" ht="12.5">
      <c r="B35" s="145" t="str">
        <f t="shared" si="0"/>
        <v/>
      </c>
      <c r="C35" s="496">
        <f>IF(D11="","-",+C34+1)</f>
        <v>2031</v>
      </c>
      <c r="D35" s="509">
        <f>IF(F34+SUM(E$17:E34)=D$10,F34,D$10-SUM(E$17:E34))</f>
        <v>0</v>
      </c>
      <c r="E35" s="510">
        <f t="shared" si="7"/>
        <v>0</v>
      </c>
      <c r="F35" s="511">
        <f t="shared" si="8"/>
        <v>0</v>
      </c>
      <c r="G35" s="512">
        <f t="shared" si="9"/>
        <v>0</v>
      </c>
      <c r="H35" s="478">
        <f t="shared" si="10"/>
        <v>0</v>
      </c>
      <c r="I35" s="501">
        <f t="shared" si="6"/>
        <v>0</v>
      </c>
      <c r="J35" s="501"/>
      <c r="K35" s="513"/>
      <c r="L35" s="505">
        <f t="shared" si="2"/>
        <v>0</v>
      </c>
      <c r="M35" s="513"/>
      <c r="N35" s="505">
        <f t="shared" si="4"/>
        <v>0</v>
      </c>
      <c r="O35" s="505">
        <f t="shared" si="5"/>
        <v>0</v>
      </c>
      <c r="P35" s="279"/>
      <c r="R35" s="244"/>
      <c r="S35" s="244"/>
      <c r="T35" s="244"/>
      <c r="U35" s="244"/>
    </row>
    <row r="36" spans="2:21" ht="12.5">
      <c r="B36" s="145" t="str">
        <f t="shared" si="0"/>
        <v/>
      </c>
      <c r="C36" s="496">
        <f>IF(D11="","-",+C35+1)</f>
        <v>2032</v>
      </c>
      <c r="D36" s="509">
        <f>IF(F35+SUM(E$17:E35)=D$10,F35,D$10-SUM(E$17:E35))</f>
        <v>0</v>
      </c>
      <c r="E36" s="510">
        <f t="shared" si="7"/>
        <v>0</v>
      </c>
      <c r="F36" s="511">
        <f t="shared" si="8"/>
        <v>0</v>
      </c>
      <c r="G36" s="512">
        <f t="shared" si="9"/>
        <v>0</v>
      </c>
      <c r="H36" s="478">
        <f t="shared" si="10"/>
        <v>0</v>
      </c>
      <c r="I36" s="501">
        <f t="shared" si="6"/>
        <v>0</v>
      </c>
      <c r="J36" s="501"/>
      <c r="K36" s="513"/>
      <c r="L36" s="505">
        <f t="shared" si="2"/>
        <v>0</v>
      </c>
      <c r="M36" s="513"/>
      <c r="N36" s="505">
        <f t="shared" si="4"/>
        <v>0</v>
      </c>
      <c r="O36" s="505">
        <f t="shared" si="5"/>
        <v>0</v>
      </c>
      <c r="P36" s="279"/>
      <c r="R36" s="244"/>
      <c r="S36" s="244"/>
      <c r="T36" s="244"/>
      <c r="U36" s="244"/>
    </row>
    <row r="37" spans="2:21" ht="12.5">
      <c r="B37" s="145" t="str">
        <f t="shared" si="0"/>
        <v/>
      </c>
      <c r="C37" s="496">
        <f>IF(D11="","-",+C36+1)</f>
        <v>2033</v>
      </c>
      <c r="D37" s="509">
        <f>IF(F36+SUM(E$17:E36)=D$10,F36,D$10-SUM(E$17:E36))</f>
        <v>0</v>
      </c>
      <c r="E37" s="510">
        <f t="shared" si="7"/>
        <v>0</v>
      </c>
      <c r="F37" s="511">
        <f t="shared" si="8"/>
        <v>0</v>
      </c>
      <c r="G37" s="512">
        <f t="shared" si="9"/>
        <v>0</v>
      </c>
      <c r="H37" s="478">
        <f t="shared" si="10"/>
        <v>0</v>
      </c>
      <c r="I37" s="501">
        <f t="shared" si="6"/>
        <v>0</v>
      </c>
      <c r="J37" s="501"/>
      <c r="K37" s="513"/>
      <c r="L37" s="505">
        <f t="shared" si="2"/>
        <v>0</v>
      </c>
      <c r="M37" s="513"/>
      <c r="N37" s="505">
        <f t="shared" si="4"/>
        <v>0</v>
      </c>
      <c r="O37" s="505">
        <f t="shared" si="5"/>
        <v>0</v>
      </c>
      <c r="P37" s="279"/>
      <c r="R37" s="244"/>
      <c r="S37" s="244"/>
      <c r="T37" s="244"/>
      <c r="U37" s="244"/>
    </row>
    <row r="38" spans="2:21" ht="12.5">
      <c r="B38" s="145" t="str">
        <f t="shared" si="0"/>
        <v/>
      </c>
      <c r="C38" s="496">
        <f>IF(D11="","-",+C37+1)</f>
        <v>2034</v>
      </c>
      <c r="D38" s="509">
        <f>IF(F37+SUM(E$17:E37)=D$10,F37,D$10-SUM(E$17:E37))</f>
        <v>0</v>
      </c>
      <c r="E38" s="510">
        <f t="shared" si="7"/>
        <v>0</v>
      </c>
      <c r="F38" s="511">
        <f t="shared" si="8"/>
        <v>0</v>
      </c>
      <c r="G38" s="512">
        <f t="shared" si="9"/>
        <v>0</v>
      </c>
      <c r="H38" s="478">
        <f t="shared" si="10"/>
        <v>0</v>
      </c>
      <c r="I38" s="501">
        <f t="shared" si="6"/>
        <v>0</v>
      </c>
      <c r="J38" s="501"/>
      <c r="K38" s="513"/>
      <c r="L38" s="505">
        <f t="shared" si="2"/>
        <v>0</v>
      </c>
      <c r="M38" s="513"/>
      <c r="N38" s="505">
        <f t="shared" si="4"/>
        <v>0</v>
      </c>
      <c r="O38" s="505">
        <f t="shared" si="5"/>
        <v>0</v>
      </c>
      <c r="P38" s="279"/>
      <c r="R38" s="244"/>
      <c r="S38" s="244"/>
      <c r="T38" s="244"/>
      <c r="U38" s="244"/>
    </row>
    <row r="39" spans="2:21" ht="12.5">
      <c r="B39" s="145" t="str">
        <f t="shared" si="0"/>
        <v/>
      </c>
      <c r="C39" s="496">
        <f>IF(D11="","-",+C38+1)</f>
        <v>2035</v>
      </c>
      <c r="D39" s="509">
        <f>IF(F38+SUM(E$17:E38)=D$10,F38,D$10-SUM(E$17:E38))</f>
        <v>0</v>
      </c>
      <c r="E39" s="510">
        <f t="shared" si="7"/>
        <v>0</v>
      </c>
      <c r="F39" s="511">
        <f t="shared" si="8"/>
        <v>0</v>
      </c>
      <c r="G39" s="512">
        <f t="shared" si="9"/>
        <v>0</v>
      </c>
      <c r="H39" s="478">
        <f t="shared" si="10"/>
        <v>0</v>
      </c>
      <c r="I39" s="501">
        <f t="shared" si="6"/>
        <v>0</v>
      </c>
      <c r="J39" s="501"/>
      <c r="K39" s="513"/>
      <c r="L39" s="505">
        <f t="shared" si="2"/>
        <v>0</v>
      </c>
      <c r="M39" s="513"/>
      <c r="N39" s="505">
        <f t="shared" si="4"/>
        <v>0</v>
      </c>
      <c r="O39" s="505">
        <f t="shared" si="5"/>
        <v>0</v>
      </c>
      <c r="P39" s="279"/>
      <c r="R39" s="244"/>
      <c r="S39" s="244"/>
      <c r="T39" s="244"/>
      <c r="U39" s="244"/>
    </row>
    <row r="40" spans="2:21" ht="12.5">
      <c r="B40" s="145" t="str">
        <f t="shared" si="0"/>
        <v/>
      </c>
      <c r="C40" s="496">
        <f>IF(D11="","-",+C39+1)</f>
        <v>2036</v>
      </c>
      <c r="D40" s="509">
        <f>IF(F39+SUM(E$17:E39)=D$10,F39,D$10-SUM(E$17:E39))</f>
        <v>0</v>
      </c>
      <c r="E40" s="510">
        <f t="shared" si="7"/>
        <v>0</v>
      </c>
      <c r="F40" s="511">
        <f t="shared" si="8"/>
        <v>0</v>
      </c>
      <c r="G40" s="512">
        <f t="shared" si="9"/>
        <v>0</v>
      </c>
      <c r="H40" s="478">
        <f t="shared" si="10"/>
        <v>0</v>
      </c>
      <c r="I40" s="501">
        <f t="shared" si="6"/>
        <v>0</v>
      </c>
      <c r="J40" s="501"/>
      <c r="K40" s="513"/>
      <c r="L40" s="505">
        <f t="shared" si="2"/>
        <v>0</v>
      </c>
      <c r="M40" s="513"/>
      <c r="N40" s="505">
        <f t="shared" si="4"/>
        <v>0</v>
      </c>
      <c r="O40" s="505">
        <f t="shared" si="5"/>
        <v>0</v>
      </c>
      <c r="P40" s="279"/>
      <c r="R40" s="244"/>
      <c r="S40" s="244"/>
      <c r="T40" s="244"/>
      <c r="U40" s="244"/>
    </row>
    <row r="41" spans="2:21" ht="12.5">
      <c r="B41" s="145" t="str">
        <f t="shared" si="0"/>
        <v/>
      </c>
      <c r="C41" s="496">
        <f>IF(D12="","-",+C40+1)</f>
        <v>2037</v>
      </c>
      <c r="D41" s="509">
        <f>IF(F40+SUM(E$17:E40)=D$10,F40,D$10-SUM(E$17:E40))</f>
        <v>0</v>
      </c>
      <c r="E41" s="510">
        <f t="shared" si="7"/>
        <v>0</v>
      </c>
      <c r="F41" s="511">
        <f t="shared" si="8"/>
        <v>0</v>
      </c>
      <c r="G41" s="512">
        <f t="shared" si="9"/>
        <v>0</v>
      </c>
      <c r="H41" s="478">
        <f t="shared" si="10"/>
        <v>0</v>
      </c>
      <c r="I41" s="501">
        <f t="shared" si="6"/>
        <v>0</v>
      </c>
      <c r="J41" s="501"/>
      <c r="K41" s="513"/>
      <c r="L41" s="505">
        <f t="shared" si="2"/>
        <v>0</v>
      </c>
      <c r="M41" s="513"/>
      <c r="N41" s="505">
        <f t="shared" si="4"/>
        <v>0</v>
      </c>
      <c r="O41" s="505">
        <f t="shared" si="5"/>
        <v>0</v>
      </c>
      <c r="P41" s="279"/>
      <c r="R41" s="244"/>
      <c r="S41" s="244"/>
      <c r="T41" s="244"/>
      <c r="U41" s="244"/>
    </row>
    <row r="42" spans="2:21" ht="12.5">
      <c r="B42" s="145" t="str">
        <f t="shared" si="0"/>
        <v/>
      </c>
      <c r="C42" s="496">
        <f>IF(D13="","-",+C41+1)</f>
        <v>2038</v>
      </c>
      <c r="D42" s="509">
        <f>IF(F41+SUM(E$17:E41)=D$10,F41,D$10-SUM(E$17:E41))</f>
        <v>0</v>
      </c>
      <c r="E42" s="510">
        <f t="shared" si="7"/>
        <v>0</v>
      </c>
      <c r="F42" s="511">
        <f t="shared" si="8"/>
        <v>0</v>
      </c>
      <c r="G42" s="512">
        <f t="shared" si="9"/>
        <v>0</v>
      </c>
      <c r="H42" s="478">
        <f t="shared" si="10"/>
        <v>0</v>
      </c>
      <c r="I42" s="501">
        <f t="shared" si="6"/>
        <v>0</v>
      </c>
      <c r="J42" s="501"/>
      <c r="K42" s="513"/>
      <c r="L42" s="505">
        <f t="shared" si="2"/>
        <v>0</v>
      </c>
      <c r="M42" s="513"/>
      <c r="N42" s="505">
        <f t="shared" si="4"/>
        <v>0</v>
      </c>
      <c r="O42" s="505">
        <f t="shared" si="5"/>
        <v>0</v>
      </c>
      <c r="P42" s="279"/>
      <c r="R42" s="244"/>
      <c r="S42" s="244"/>
      <c r="T42" s="244"/>
      <c r="U42" s="244"/>
    </row>
    <row r="43" spans="2:21" ht="12.5">
      <c r="B43" s="145" t="str">
        <f t="shared" si="0"/>
        <v/>
      </c>
      <c r="C43" s="496">
        <f>IF(D11="","-",+C42+1)</f>
        <v>2039</v>
      </c>
      <c r="D43" s="509">
        <f>IF(F42+SUM(E$17:E42)=D$10,F42,D$10-SUM(E$17:E42))</f>
        <v>0</v>
      </c>
      <c r="E43" s="510">
        <f t="shared" si="7"/>
        <v>0</v>
      </c>
      <c r="F43" s="511">
        <f t="shared" si="8"/>
        <v>0</v>
      </c>
      <c r="G43" s="512">
        <f t="shared" si="9"/>
        <v>0</v>
      </c>
      <c r="H43" s="478">
        <f t="shared" si="10"/>
        <v>0</v>
      </c>
      <c r="I43" s="501">
        <f t="shared" si="6"/>
        <v>0</v>
      </c>
      <c r="J43" s="501"/>
      <c r="K43" s="513"/>
      <c r="L43" s="505">
        <f t="shared" si="2"/>
        <v>0</v>
      </c>
      <c r="M43" s="513"/>
      <c r="N43" s="505">
        <f t="shared" si="4"/>
        <v>0</v>
      </c>
      <c r="O43" s="505">
        <f t="shared" si="5"/>
        <v>0</v>
      </c>
      <c r="P43" s="279"/>
      <c r="R43" s="244"/>
      <c r="S43" s="244"/>
      <c r="T43" s="244"/>
      <c r="U43" s="244"/>
    </row>
    <row r="44" spans="2:21" ht="12.5">
      <c r="B44" s="145" t="str">
        <f t="shared" si="0"/>
        <v/>
      </c>
      <c r="C44" s="496">
        <f>IF(D11="","-",+C43+1)</f>
        <v>2040</v>
      </c>
      <c r="D44" s="509">
        <f>IF(F43+SUM(E$17:E43)=D$10,F43,D$10-SUM(E$17:E43))</f>
        <v>0</v>
      </c>
      <c r="E44" s="510">
        <f t="shared" si="7"/>
        <v>0</v>
      </c>
      <c r="F44" s="511">
        <f t="shared" si="8"/>
        <v>0</v>
      </c>
      <c r="G44" s="512">
        <f t="shared" si="9"/>
        <v>0</v>
      </c>
      <c r="H44" s="478">
        <f t="shared" si="10"/>
        <v>0</v>
      </c>
      <c r="I44" s="501">
        <f t="shared" si="6"/>
        <v>0</v>
      </c>
      <c r="J44" s="501"/>
      <c r="K44" s="513"/>
      <c r="L44" s="505">
        <f t="shared" si="2"/>
        <v>0</v>
      </c>
      <c r="M44" s="513"/>
      <c r="N44" s="505">
        <f t="shared" si="4"/>
        <v>0</v>
      </c>
      <c r="O44" s="505">
        <f t="shared" si="5"/>
        <v>0</v>
      </c>
      <c r="P44" s="279"/>
      <c r="R44" s="244"/>
      <c r="S44" s="244"/>
      <c r="T44" s="244"/>
      <c r="U44" s="244"/>
    </row>
    <row r="45" spans="2:21" ht="12.5">
      <c r="B45" s="145" t="str">
        <f t="shared" si="0"/>
        <v/>
      </c>
      <c r="C45" s="496">
        <f>IF(D11="","-",+C44+1)</f>
        <v>2041</v>
      </c>
      <c r="D45" s="509">
        <f>IF(F44+SUM(E$17:E44)=D$10,F44,D$10-SUM(E$17:E44))</f>
        <v>0</v>
      </c>
      <c r="E45" s="510">
        <f t="shared" si="7"/>
        <v>0</v>
      </c>
      <c r="F45" s="511">
        <f t="shared" si="8"/>
        <v>0</v>
      </c>
      <c r="G45" s="512">
        <f t="shared" si="9"/>
        <v>0</v>
      </c>
      <c r="H45" s="478">
        <f t="shared" si="10"/>
        <v>0</v>
      </c>
      <c r="I45" s="501">
        <f t="shared" si="6"/>
        <v>0</v>
      </c>
      <c r="J45" s="501"/>
      <c r="K45" s="513"/>
      <c r="L45" s="505">
        <f t="shared" si="2"/>
        <v>0</v>
      </c>
      <c r="M45" s="513"/>
      <c r="N45" s="505">
        <f t="shared" si="4"/>
        <v>0</v>
      </c>
      <c r="O45" s="505">
        <f t="shared" si="5"/>
        <v>0</v>
      </c>
      <c r="P45" s="279"/>
      <c r="R45" s="244"/>
      <c r="S45" s="244"/>
      <c r="T45" s="244"/>
      <c r="U45" s="244"/>
    </row>
    <row r="46" spans="2:21" ht="12.5">
      <c r="B46" s="145" t="str">
        <f t="shared" si="0"/>
        <v/>
      </c>
      <c r="C46" s="496">
        <f>IF(D11="","-",+C45+1)</f>
        <v>2042</v>
      </c>
      <c r="D46" s="509">
        <f>IF(F45+SUM(E$17:E45)=D$10,F45,D$10-SUM(E$17:E45))</f>
        <v>0</v>
      </c>
      <c r="E46" s="510">
        <f t="shared" si="7"/>
        <v>0</v>
      </c>
      <c r="F46" s="511">
        <f t="shared" si="8"/>
        <v>0</v>
      </c>
      <c r="G46" s="512">
        <f t="shared" si="9"/>
        <v>0</v>
      </c>
      <c r="H46" s="478">
        <f t="shared" si="10"/>
        <v>0</v>
      </c>
      <c r="I46" s="501">
        <f t="shared" si="6"/>
        <v>0</v>
      </c>
      <c r="J46" s="501"/>
      <c r="K46" s="513"/>
      <c r="L46" s="505">
        <f t="shared" si="2"/>
        <v>0</v>
      </c>
      <c r="M46" s="513"/>
      <c r="N46" s="505">
        <f t="shared" si="4"/>
        <v>0</v>
      </c>
      <c r="O46" s="505">
        <f t="shared" si="5"/>
        <v>0</v>
      </c>
      <c r="P46" s="279"/>
      <c r="R46" s="244"/>
      <c r="S46" s="244"/>
      <c r="T46" s="244"/>
      <c r="U46" s="244"/>
    </row>
    <row r="47" spans="2:21" ht="12.5">
      <c r="B47" s="145" t="str">
        <f t="shared" si="0"/>
        <v/>
      </c>
      <c r="C47" s="496">
        <f>IF(D11="","-",+C46+1)</f>
        <v>2043</v>
      </c>
      <c r="D47" s="509">
        <f>IF(F46+SUM(E$17:E46)=D$10,F46,D$10-SUM(E$17:E46))</f>
        <v>0</v>
      </c>
      <c r="E47" s="510">
        <f t="shared" si="7"/>
        <v>0</v>
      </c>
      <c r="F47" s="511">
        <f t="shared" si="8"/>
        <v>0</v>
      </c>
      <c r="G47" s="512">
        <f t="shared" si="9"/>
        <v>0</v>
      </c>
      <c r="H47" s="478">
        <f t="shared" si="10"/>
        <v>0</v>
      </c>
      <c r="I47" s="501">
        <f t="shared" si="6"/>
        <v>0</v>
      </c>
      <c r="J47" s="501"/>
      <c r="K47" s="513"/>
      <c r="L47" s="505">
        <f t="shared" si="2"/>
        <v>0</v>
      </c>
      <c r="M47" s="513"/>
      <c r="N47" s="505">
        <f t="shared" si="4"/>
        <v>0</v>
      </c>
      <c r="O47" s="505">
        <f t="shared" si="5"/>
        <v>0</v>
      </c>
      <c r="P47" s="279"/>
      <c r="R47" s="244"/>
      <c r="S47" s="244"/>
      <c r="T47" s="244"/>
      <c r="U47" s="244"/>
    </row>
    <row r="48" spans="2:21" ht="12.5">
      <c r="B48" s="145" t="str">
        <f t="shared" si="0"/>
        <v/>
      </c>
      <c r="C48" s="496">
        <f>IF(D11="","-",+C47+1)</f>
        <v>2044</v>
      </c>
      <c r="D48" s="509">
        <f>IF(F47+SUM(E$17:E47)=D$10,F47,D$10-SUM(E$17:E47))</f>
        <v>0</v>
      </c>
      <c r="E48" s="510">
        <f t="shared" si="7"/>
        <v>0</v>
      </c>
      <c r="F48" s="511">
        <f t="shared" si="8"/>
        <v>0</v>
      </c>
      <c r="G48" s="512">
        <f t="shared" si="9"/>
        <v>0</v>
      </c>
      <c r="H48" s="478">
        <f t="shared" si="10"/>
        <v>0</v>
      </c>
      <c r="I48" s="501">
        <f t="shared" si="6"/>
        <v>0</v>
      </c>
      <c r="J48" s="501"/>
      <c r="K48" s="513"/>
      <c r="L48" s="505">
        <f t="shared" si="2"/>
        <v>0</v>
      </c>
      <c r="M48" s="513"/>
      <c r="N48" s="505">
        <f t="shared" si="4"/>
        <v>0</v>
      </c>
      <c r="O48" s="505">
        <f t="shared" si="5"/>
        <v>0</v>
      </c>
      <c r="P48" s="279"/>
      <c r="R48" s="244"/>
      <c r="S48" s="244"/>
      <c r="T48" s="244"/>
      <c r="U48" s="244"/>
    </row>
    <row r="49" spans="2:21" ht="12.5">
      <c r="B49" s="145" t="str">
        <f t="shared" si="0"/>
        <v/>
      </c>
      <c r="C49" s="496">
        <f>IF(D11="","-",+C48+1)</f>
        <v>2045</v>
      </c>
      <c r="D49" s="509">
        <f>IF(F48+SUM(E$17:E48)=D$10,F48,D$10-SUM(E$17:E48))</f>
        <v>0</v>
      </c>
      <c r="E49" s="510">
        <f t="shared" si="7"/>
        <v>0</v>
      </c>
      <c r="F49" s="511">
        <f t="shared" si="8"/>
        <v>0</v>
      </c>
      <c r="G49" s="512">
        <f t="shared" si="9"/>
        <v>0</v>
      </c>
      <c r="H49" s="478">
        <f t="shared" si="10"/>
        <v>0</v>
      </c>
      <c r="I49" s="501">
        <f t="shared" si="6"/>
        <v>0</v>
      </c>
      <c r="J49" s="501"/>
      <c r="K49" s="513"/>
      <c r="L49" s="505">
        <f t="shared" si="2"/>
        <v>0</v>
      </c>
      <c r="M49" s="513"/>
      <c r="N49" s="505">
        <f t="shared" si="4"/>
        <v>0</v>
      </c>
      <c r="O49" s="505">
        <f t="shared" si="5"/>
        <v>0</v>
      </c>
      <c r="P49" s="279"/>
      <c r="R49" s="244"/>
      <c r="S49" s="244"/>
      <c r="T49" s="244"/>
      <c r="U49" s="244"/>
    </row>
    <row r="50" spans="2:21" ht="12.5">
      <c r="B50" s="145" t="str">
        <f t="shared" si="0"/>
        <v/>
      </c>
      <c r="C50" s="496">
        <f>IF(D11="","-",+C49+1)</f>
        <v>2046</v>
      </c>
      <c r="D50" s="509">
        <f>IF(F49+SUM(E$17:E49)=D$10,F49,D$10-SUM(E$17:E49))</f>
        <v>0</v>
      </c>
      <c r="E50" s="510">
        <f t="shared" si="7"/>
        <v>0</v>
      </c>
      <c r="F50" s="511">
        <f t="shared" si="8"/>
        <v>0</v>
      </c>
      <c r="G50" s="512">
        <f t="shared" si="9"/>
        <v>0</v>
      </c>
      <c r="H50" s="478">
        <f t="shared" si="10"/>
        <v>0</v>
      </c>
      <c r="I50" s="501">
        <f t="shared" si="6"/>
        <v>0</v>
      </c>
      <c r="J50" s="501"/>
      <c r="K50" s="513"/>
      <c r="L50" s="505">
        <f t="shared" si="2"/>
        <v>0</v>
      </c>
      <c r="M50" s="513"/>
      <c r="N50" s="505">
        <f t="shared" si="4"/>
        <v>0</v>
      </c>
      <c r="O50" s="505">
        <f t="shared" si="5"/>
        <v>0</v>
      </c>
      <c r="P50" s="279"/>
      <c r="R50" s="244"/>
      <c r="S50" s="244"/>
      <c r="T50" s="244"/>
      <c r="U50" s="244"/>
    </row>
    <row r="51" spans="2:21" ht="12.5">
      <c r="B51" s="145" t="str">
        <f t="shared" si="0"/>
        <v/>
      </c>
      <c r="C51" s="496">
        <f>IF(D11="","-",+C50+1)</f>
        <v>2047</v>
      </c>
      <c r="D51" s="509">
        <f>IF(F50+SUM(E$17:E50)=D$10,F50,D$10-SUM(E$17:E50))</f>
        <v>0</v>
      </c>
      <c r="E51" s="510">
        <f t="shared" si="7"/>
        <v>0</v>
      </c>
      <c r="F51" s="511">
        <f t="shared" si="8"/>
        <v>0</v>
      </c>
      <c r="G51" s="512">
        <f t="shared" si="9"/>
        <v>0</v>
      </c>
      <c r="H51" s="478">
        <f t="shared" si="10"/>
        <v>0</v>
      </c>
      <c r="I51" s="501">
        <f t="shared" si="6"/>
        <v>0</v>
      </c>
      <c r="J51" s="501"/>
      <c r="K51" s="513"/>
      <c r="L51" s="505">
        <f t="shared" si="2"/>
        <v>0</v>
      </c>
      <c r="M51" s="513"/>
      <c r="N51" s="505">
        <f t="shared" si="4"/>
        <v>0</v>
      </c>
      <c r="O51" s="505">
        <f t="shared" si="5"/>
        <v>0</v>
      </c>
      <c r="P51" s="279"/>
      <c r="R51" s="244"/>
      <c r="S51" s="244"/>
      <c r="T51" s="244"/>
      <c r="U51" s="244"/>
    </row>
    <row r="52" spans="2:21" ht="12.5">
      <c r="B52" s="145" t="str">
        <f t="shared" si="0"/>
        <v/>
      </c>
      <c r="C52" s="496">
        <f>IF(D11="","-",+C51+1)</f>
        <v>2048</v>
      </c>
      <c r="D52" s="509">
        <f>IF(F51+SUM(E$17:E51)=D$10,F51,D$10-SUM(E$17:E51))</f>
        <v>0</v>
      </c>
      <c r="E52" s="510">
        <f t="shared" si="7"/>
        <v>0</v>
      </c>
      <c r="F52" s="511">
        <f t="shared" si="8"/>
        <v>0</v>
      </c>
      <c r="G52" s="512">
        <f t="shared" si="9"/>
        <v>0</v>
      </c>
      <c r="H52" s="478">
        <f t="shared" si="10"/>
        <v>0</v>
      </c>
      <c r="I52" s="501">
        <f t="shared" si="6"/>
        <v>0</v>
      </c>
      <c r="J52" s="501"/>
      <c r="K52" s="513"/>
      <c r="L52" s="505">
        <f t="shared" si="2"/>
        <v>0</v>
      </c>
      <c r="M52" s="513"/>
      <c r="N52" s="505">
        <f t="shared" si="4"/>
        <v>0</v>
      </c>
      <c r="O52" s="505">
        <f t="shared" si="5"/>
        <v>0</v>
      </c>
      <c r="P52" s="279"/>
      <c r="R52" s="244"/>
      <c r="S52" s="244"/>
      <c r="T52" s="244"/>
      <c r="U52" s="244"/>
    </row>
    <row r="53" spans="2:21" ht="12.5">
      <c r="B53" s="145" t="str">
        <f t="shared" si="0"/>
        <v/>
      </c>
      <c r="C53" s="496">
        <f>IF(D11="","-",+C52+1)</f>
        <v>2049</v>
      </c>
      <c r="D53" s="509">
        <f>IF(F52+SUM(E$17:E52)=D$10,F52,D$10-SUM(E$17:E52))</f>
        <v>0</v>
      </c>
      <c r="E53" s="510">
        <f t="shared" si="7"/>
        <v>0</v>
      </c>
      <c r="F53" s="511">
        <f t="shared" si="8"/>
        <v>0</v>
      </c>
      <c r="G53" s="512">
        <f t="shared" si="9"/>
        <v>0</v>
      </c>
      <c r="H53" s="478">
        <f t="shared" si="10"/>
        <v>0</v>
      </c>
      <c r="I53" s="501">
        <f t="shared" si="6"/>
        <v>0</v>
      </c>
      <c r="J53" s="501"/>
      <c r="K53" s="513"/>
      <c r="L53" s="505">
        <f t="shared" si="2"/>
        <v>0</v>
      </c>
      <c r="M53" s="513"/>
      <c r="N53" s="505">
        <f t="shared" si="4"/>
        <v>0</v>
      </c>
      <c r="O53" s="505">
        <f t="shared" si="5"/>
        <v>0</v>
      </c>
      <c r="P53" s="279"/>
      <c r="R53" s="244"/>
      <c r="S53" s="244"/>
      <c r="T53" s="244"/>
      <c r="U53" s="244"/>
    </row>
    <row r="54" spans="2:21" ht="12.5">
      <c r="B54" s="145" t="str">
        <f t="shared" si="0"/>
        <v/>
      </c>
      <c r="C54" s="496">
        <f>IF(D11="","-",+C53+1)</f>
        <v>2050</v>
      </c>
      <c r="D54" s="509">
        <f>IF(F53+SUM(E$17:E53)=D$10,F53,D$10-SUM(E$17:E53))</f>
        <v>0</v>
      </c>
      <c r="E54" s="510">
        <f t="shared" si="7"/>
        <v>0</v>
      </c>
      <c r="F54" s="511">
        <f t="shared" si="8"/>
        <v>0</v>
      </c>
      <c r="G54" s="512">
        <f t="shared" si="9"/>
        <v>0</v>
      </c>
      <c r="H54" s="478">
        <f t="shared" si="10"/>
        <v>0</v>
      </c>
      <c r="I54" s="501">
        <f t="shared" si="6"/>
        <v>0</v>
      </c>
      <c r="J54" s="501"/>
      <c r="K54" s="513"/>
      <c r="L54" s="505">
        <f t="shared" si="2"/>
        <v>0</v>
      </c>
      <c r="M54" s="513"/>
      <c r="N54" s="505">
        <f t="shared" si="4"/>
        <v>0</v>
      </c>
      <c r="O54" s="505">
        <f t="shared" si="5"/>
        <v>0</v>
      </c>
      <c r="P54" s="279"/>
      <c r="R54" s="244"/>
      <c r="S54" s="244"/>
      <c r="T54" s="244"/>
      <c r="U54" s="244"/>
    </row>
    <row r="55" spans="2:21" ht="12.5">
      <c r="B55" s="145" t="str">
        <f t="shared" si="0"/>
        <v/>
      </c>
      <c r="C55" s="496">
        <f>IF(D11="","-",+C54+1)</f>
        <v>2051</v>
      </c>
      <c r="D55" s="509">
        <f>IF(F54+SUM(E$17:E54)=D$10,F54,D$10-SUM(E$17:E54))</f>
        <v>0</v>
      </c>
      <c r="E55" s="510">
        <f t="shared" si="7"/>
        <v>0</v>
      </c>
      <c r="F55" s="511">
        <f t="shared" si="8"/>
        <v>0</v>
      </c>
      <c r="G55" s="512">
        <f t="shared" si="9"/>
        <v>0</v>
      </c>
      <c r="H55" s="478">
        <f t="shared" si="10"/>
        <v>0</v>
      </c>
      <c r="I55" s="501">
        <f t="shared" si="6"/>
        <v>0</v>
      </c>
      <c r="J55" s="501"/>
      <c r="K55" s="513"/>
      <c r="L55" s="505">
        <f t="shared" si="2"/>
        <v>0</v>
      </c>
      <c r="M55" s="513"/>
      <c r="N55" s="505">
        <f t="shared" si="4"/>
        <v>0</v>
      </c>
      <c r="O55" s="505">
        <f t="shared" si="5"/>
        <v>0</v>
      </c>
      <c r="P55" s="279"/>
      <c r="R55" s="244"/>
      <c r="S55" s="244"/>
      <c r="T55" s="244"/>
      <c r="U55" s="244"/>
    </row>
    <row r="56" spans="2:21" ht="12.5">
      <c r="B56" s="145" t="str">
        <f t="shared" si="0"/>
        <v/>
      </c>
      <c r="C56" s="496">
        <f>IF(D11="","-",+C55+1)</f>
        <v>2052</v>
      </c>
      <c r="D56" s="509">
        <f>IF(F55+SUM(E$17:E55)=D$10,F55,D$10-SUM(E$17:E55))</f>
        <v>0</v>
      </c>
      <c r="E56" s="510">
        <f t="shared" si="7"/>
        <v>0</v>
      </c>
      <c r="F56" s="511">
        <f t="shared" si="8"/>
        <v>0</v>
      </c>
      <c r="G56" s="512">
        <f t="shared" si="9"/>
        <v>0</v>
      </c>
      <c r="H56" s="478">
        <f t="shared" si="10"/>
        <v>0</v>
      </c>
      <c r="I56" s="501">
        <f t="shared" si="6"/>
        <v>0</v>
      </c>
      <c r="J56" s="501"/>
      <c r="K56" s="513"/>
      <c r="L56" s="505">
        <f t="shared" si="2"/>
        <v>0</v>
      </c>
      <c r="M56" s="513"/>
      <c r="N56" s="505">
        <f t="shared" si="4"/>
        <v>0</v>
      </c>
      <c r="O56" s="505">
        <f t="shared" si="5"/>
        <v>0</v>
      </c>
      <c r="P56" s="279"/>
      <c r="R56" s="244"/>
      <c r="S56" s="244"/>
      <c r="T56" s="244"/>
      <c r="U56" s="244"/>
    </row>
    <row r="57" spans="2:21" ht="12.5">
      <c r="B57" s="145" t="str">
        <f t="shared" si="0"/>
        <v/>
      </c>
      <c r="C57" s="496">
        <f>IF(D11="","-",+C56+1)</f>
        <v>2053</v>
      </c>
      <c r="D57" s="509">
        <f>IF(F56+SUM(E$17:E56)=D$10,F56,D$10-SUM(E$17:E56))</f>
        <v>0</v>
      </c>
      <c r="E57" s="510">
        <f t="shared" si="7"/>
        <v>0</v>
      </c>
      <c r="F57" s="511">
        <f t="shared" si="8"/>
        <v>0</v>
      </c>
      <c r="G57" s="512">
        <f t="shared" si="9"/>
        <v>0</v>
      </c>
      <c r="H57" s="478">
        <f t="shared" si="10"/>
        <v>0</v>
      </c>
      <c r="I57" s="501">
        <f t="shared" si="6"/>
        <v>0</v>
      </c>
      <c r="J57" s="501"/>
      <c r="K57" s="513"/>
      <c r="L57" s="505">
        <f t="shared" si="2"/>
        <v>0</v>
      </c>
      <c r="M57" s="513"/>
      <c r="N57" s="505">
        <f t="shared" si="4"/>
        <v>0</v>
      </c>
      <c r="O57" s="505">
        <f t="shared" si="5"/>
        <v>0</v>
      </c>
      <c r="P57" s="279"/>
      <c r="R57" s="244"/>
      <c r="S57" s="244"/>
      <c r="T57" s="244"/>
      <c r="U57" s="244"/>
    </row>
    <row r="58" spans="2:21" ht="12.5">
      <c r="B58" s="145" t="str">
        <f t="shared" si="0"/>
        <v/>
      </c>
      <c r="C58" s="496">
        <f>IF(D11="","-",+C57+1)</f>
        <v>2054</v>
      </c>
      <c r="D58" s="509">
        <f>IF(F57+SUM(E$17:E57)=D$10,F57,D$10-SUM(E$17:E57))</f>
        <v>0</v>
      </c>
      <c r="E58" s="510">
        <f t="shared" si="7"/>
        <v>0</v>
      </c>
      <c r="F58" s="511">
        <f t="shared" si="8"/>
        <v>0</v>
      </c>
      <c r="G58" s="512">
        <f t="shared" si="9"/>
        <v>0</v>
      </c>
      <c r="H58" s="478">
        <f t="shared" si="10"/>
        <v>0</v>
      </c>
      <c r="I58" s="501">
        <f t="shared" si="6"/>
        <v>0</v>
      </c>
      <c r="J58" s="501"/>
      <c r="K58" s="513"/>
      <c r="L58" s="505">
        <f t="shared" si="2"/>
        <v>0</v>
      </c>
      <c r="M58" s="513"/>
      <c r="N58" s="505">
        <f t="shared" si="4"/>
        <v>0</v>
      </c>
      <c r="O58" s="505">
        <f t="shared" si="5"/>
        <v>0</v>
      </c>
      <c r="P58" s="279"/>
      <c r="R58" s="244"/>
      <c r="S58" s="244"/>
      <c r="T58" s="244"/>
      <c r="U58" s="244"/>
    </row>
    <row r="59" spans="2:21" ht="12.5">
      <c r="B59" s="145" t="str">
        <f t="shared" si="0"/>
        <v/>
      </c>
      <c r="C59" s="496">
        <f>IF(D11="","-",+C58+1)</f>
        <v>2055</v>
      </c>
      <c r="D59" s="509">
        <f>IF(F58+SUM(E$17:E58)=D$10,F58,D$10-SUM(E$17:E58))</f>
        <v>0</v>
      </c>
      <c r="E59" s="510">
        <f t="shared" si="7"/>
        <v>0</v>
      </c>
      <c r="F59" s="511">
        <f t="shared" si="8"/>
        <v>0</v>
      </c>
      <c r="G59" s="512">
        <f t="shared" si="9"/>
        <v>0</v>
      </c>
      <c r="H59" s="478">
        <f t="shared" si="10"/>
        <v>0</v>
      </c>
      <c r="I59" s="501">
        <f t="shared" si="6"/>
        <v>0</v>
      </c>
      <c r="J59" s="501"/>
      <c r="K59" s="513"/>
      <c r="L59" s="505">
        <f t="shared" si="2"/>
        <v>0</v>
      </c>
      <c r="M59" s="513"/>
      <c r="N59" s="505">
        <f t="shared" si="4"/>
        <v>0</v>
      </c>
      <c r="O59" s="505">
        <f t="shared" si="5"/>
        <v>0</v>
      </c>
      <c r="P59" s="279"/>
      <c r="R59" s="244"/>
      <c r="S59" s="244"/>
      <c r="T59" s="244"/>
      <c r="U59" s="244"/>
    </row>
    <row r="60" spans="2:21" ht="12.5">
      <c r="B60" s="145" t="str">
        <f t="shared" si="0"/>
        <v/>
      </c>
      <c r="C60" s="496">
        <f>IF(D11="","-",+C59+1)</f>
        <v>2056</v>
      </c>
      <c r="D60" s="509">
        <f>IF(F59+SUM(E$17:E59)=D$10,F59,D$10-SUM(E$17:E59))</f>
        <v>0</v>
      </c>
      <c r="E60" s="510">
        <f t="shared" si="7"/>
        <v>0</v>
      </c>
      <c r="F60" s="511">
        <f t="shared" si="8"/>
        <v>0</v>
      </c>
      <c r="G60" s="512">
        <f t="shared" si="9"/>
        <v>0</v>
      </c>
      <c r="H60" s="478">
        <f t="shared" si="10"/>
        <v>0</v>
      </c>
      <c r="I60" s="501">
        <f t="shared" si="6"/>
        <v>0</v>
      </c>
      <c r="J60" s="501"/>
      <c r="K60" s="513"/>
      <c r="L60" s="505">
        <f t="shared" si="2"/>
        <v>0</v>
      </c>
      <c r="M60" s="513"/>
      <c r="N60" s="505">
        <f t="shared" si="4"/>
        <v>0</v>
      </c>
      <c r="O60" s="505">
        <f t="shared" si="5"/>
        <v>0</v>
      </c>
      <c r="P60" s="279"/>
      <c r="R60" s="244"/>
      <c r="S60" s="244"/>
      <c r="T60" s="244"/>
      <c r="U60" s="244"/>
    </row>
    <row r="61" spans="2:21" ht="12.5">
      <c r="B61" s="145" t="str">
        <f t="shared" si="0"/>
        <v/>
      </c>
      <c r="C61" s="496">
        <f>IF(D11="","-",+C60+1)</f>
        <v>2057</v>
      </c>
      <c r="D61" s="509">
        <f>IF(F60+SUM(E$17:E60)=D$10,F60,D$10-SUM(E$17:E60))</f>
        <v>0</v>
      </c>
      <c r="E61" s="510">
        <f t="shared" si="7"/>
        <v>0</v>
      </c>
      <c r="F61" s="511">
        <f t="shared" si="8"/>
        <v>0</v>
      </c>
      <c r="G61" s="512">
        <f t="shared" si="9"/>
        <v>0</v>
      </c>
      <c r="H61" s="478">
        <f t="shared" si="10"/>
        <v>0</v>
      </c>
      <c r="I61" s="501">
        <f t="shared" si="6"/>
        <v>0</v>
      </c>
      <c r="J61" s="501"/>
      <c r="K61" s="513"/>
      <c r="L61" s="505">
        <f t="shared" si="2"/>
        <v>0</v>
      </c>
      <c r="M61" s="513"/>
      <c r="N61" s="505">
        <f t="shared" si="4"/>
        <v>0</v>
      </c>
      <c r="O61" s="505">
        <f t="shared" si="5"/>
        <v>0</v>
      </c>
      <c r="P61" s="279"/>
      <c r="R61" s="244"/>
      <c r="S61" s="244"/>
      <c r="T61" s="244"/>
      <c r="U61" s="244"/>
    </row>
    <row r="62" spans="2:21" ht="12.5">
      <c r="B62" s="145" t="str">
        <f t="shared" si="0"/>
        <v/>
      </c>
      <c r="C62" s="496">
        <f>IF(D11="","-",+C61+1)</f>
        <v>2058</v>
      </c>
      <c r="D62" s="509">
        <f>IF(F61+SUM(E$17:E61)=D$10,F61,D$10-SUM(E$17:E61))</f>
        <v>0</v>
      </c>
      <c r="E62" s="510">
        <f t="shared" si="7"/>
        <v>0</v>
      </c>
      <c r="F62" s="511">
        <f t="shared" si="8"/>
        <v>0</v>
      </c>
      <c r="G62" s="512">
        <f t="shared" si="9"/>
        <v>0</v>
      </c>
      <c r="H62" s="478">
        <f t="shared" si="10"/>
        <v>0</v>
      </c>
      <c r="I62" s="501">
        <f t="shared" si="6"/>
        <v>0</v>
      </c>
      <c r="J62" s="501"/>
      <c r="K62" s="513"/>
      <c r="L62" s="505">
        <f t="shared" si="2"/>
        <v>0</v>
      </c>
      <c r="M62" s="513"/>
      <c r="N62" s="505">
        <f t="shared" si="4"/>
        <v>0</v>
      </c>
      <c r="O62" s="505">
        <f t="shared" si="5"/>
        <v>0</v>
      </c>
      <c r="P62" s="279"/>
      <c r="R62" s="244"/>
      <c r="S62" s="244"/>
      <c r="T62" s="244"/>
      <c r="U62" s="244"/>
    </row>
    <row r="63" spans="2:21" ht="12.5">
      <c r="B63" s="145" t="str">
        <f t="shared" si="0"/>
        <v/>
      </c>
      <c r="C63" s="496">
        <f>IF(D11="","-",+C62+1)</f>
        <v>2059</v>
      </c>
      <c r="D63" s="509">
        <f>IF(F62+SUM(E$17:E62)=D$10,F62,D$10-SUM(E$17:E62))</f>
        <v>0</v>
      </c>
      <c r="E63" s="510">
        <f t="shared" si="7"/>
        <v>0</v>
      </c>
      <c r="F63" s="511">
        <f t="shared" si="8"/>
        <v>0</v>
      </c>
      <c r="G63" s="512">
        <f t="shared" si="9"/>
        <v>0</v>
      </c>
      <c r="H63" s="478">
        <f t="shared" si="10"/>
        <v>0</v>
      </c>
      <c r="I63" s="501">
        <f t="shared" si="6"/>
        <v>0</v>
      </c>
      <c r="J63" s="501"/>
      <c r="K63" s="513"/>
      <c r="L63" s="505">
        <f t="shared" si="2"/>
        <v>0</v>
      </c>
      <c r="M63" s="513"/>
      <c r="N63" s="505">
        <f t="shared" si="4"/>
        <v>0</v>
      </c>
      <c r="O63" s="505">
        <f t="shared" si="5"/>
        <v>0</v>
      </c>
      <c r="P63" s="279"/>
      <c r="R63" s="244"/>
      <c r="S63" s="244"/>
      <c r="T63" s="244"/>
      <c r="U63" s="244"/>
    </row>
    <row r="64" spans="2:21" ht="12.5">
      <c r="B64" s="145" t="str">
        <f t="shared" si="0"/>
        <v/>
      </c>
      <c r="C64" s="496">
        <f>IF(D11="","-",+C63+1)</f>
        <v>2060</v>
      </c>
      <c r="D64" s="509">
        <f>IF(F63+SUM(E$17:E63)=D$10,F63,D$10-SUM(E$17:E63))</f>
        <v>0</v>
      </c>
      <c r="E64" s="510">
        <f t="shared" si="7"/>
        <v>0</v>
      </c>
      <c r="F64" s="511">
        <f t="shared" si="8"/>
        <v>0</v>
      </c>
      <c r="G64" s="512">
        <f t="shared" si="9"/>
        <v>0</v>
      </c>
      <c r="H64" s="478">
        <f t="shared" si="10"/>
        <v>0</v>
      </c>
      <c r="I64" s="501">
        <f t="shared" si="6"/>
        <v>0</v>
      </c>
      <c r="J64" s="501"/>
      <c r="K64" s="513"/>
      <c r="L64" s="505">
        <f t="shared" si="2"/>
        <v>0</v>
      </c>
      <c r="M64" s="513"/>
      <c r="N64" s="505">
        <f t="shared" si="4"/>
        <v>0</v>
      </c>
      <c r="O64" s="505">
        <f t="shared" si="5"/>
        <v>0</v>
      </c>
      <c r="P64" s="279"/>
      <c r="R64" s="244"/>
      <c r="S64" s="244"/>
      <c r="T64" s="244"/>
      <c r="U64" s="244"/>
    </row>
    <row r="65" spans="2:21" ht="12.5">
      <c r="B65" s="145" t="str">
        <f t="shared" si="0"/>
        <v/>
      </c>
      <c r="C65" s="496">
        <f>IF(D11="","-",+C64+1)</f>
        <v>2061</v>
      </c>
      <c r="D65" s="509">
        <f>IF(F64+SUM(E$17:E64)=D$10,F64,D$10-SUM(E$17:E64))</f>
        <v>0</v>
      </c>
      <c r="E65" s="510">
        <f t="shared" si="7"/>
        <v>0</v>
      </c>
      <c r="F65" s="511">
        <f t="shared" si="8"/>
        <v>0</v>
      </c>
      <c r="G65" s="512">
        <f t="shared" si="9"/>
        <v>0</v>
      </c>
      <c r="H65" s="478">
        <f t="shared" si="10"/>
        <v>0</v>
      </c>
      <c r="I65" s="501">
        <f t="shared" si="6"/>
        <v>0</v>
      </c>
      <c r="J65" s="501"/>
      <c r="K65" s="513"/>
      <c r="L65" s="505">
        <f t="shared" si="2"/>
        <v>0</v>
      </c>
      <c r="M65" s="513"/>
      <c r="N65" s="505">
        <f t="shared" si="4"/>
        <v>0</v>
      </c>
      <c r="O65" s="505">
        <f t="shared" si="5"/>
        <v>0</v>
      </c>
      <c r="P65" s="279"/>
      <c r="R65" s="244"/>
      <c r="S65" s="244"/>
      <c r="T65" s="244"/>
      <c r="U65" s="244"/>
    </row>
    <row r="66" spans="2:21" ht="12.5">
      <c r="B66" s="145" t="str">
        <f t="shared" si="0"/>
        <v/>
      </c>
      <c r="C66" s="496">
        <f>IF(D11="","-",+C65+1)</f>
        <v>2062</v>
      </c>
      <c r="D66" s="509">
        <f>IF(F65+SUM(E$17:E65)=D$10,F65,D$10-SUM(E$17:E65))</f>
        <v>0</v>
      </c>
      <c r="E66" s="510">
        <f t="shared" si="7"/>
        <v>0</v>
      </c>
      <c r="F66" s="511">
        <f t="shared" si="8"/>
        <v>0</v>
      </c>
      <c r="G66" s="512">
        <f t="shared" si="9"/>
        <v>0</v>
      </c>
      <c r="H66" s="478">
        <f t="shared" si="10"/>
        <v>0</v>
      </c>
      <c r="I66" s="501">
        <f t="shared" si="6"/>
        <v>0</v>
      </c>
      <c r="J66" s="501"/>
      <c r="K66" s="513"/>
      <c r="L66" s="505">
        <f t="shared" si="2"/>
        <v>0</v>
      </c>
      <c r="M66" s="513"/>
      <c r="N66" s="505">
        <f t="shared" si="4"/>
        <v>0</v>
      </c>
      <c r="O66" s="505">
        <f t="shared" si="5"/>
        <v>0</v>
      </c>
      <c r="P66" s="279"/>
      <c r="R66" s="244"/>
      <c r="S66" s="244"/>
      <c r="T66" s="244"/>
      <c r="U66" s="244"/>
    </row>
    <row r="67" spans="2:21" ht="12.5">
      <c r="B67" s="145" t="str">
        <f t="shared" si="0"/>
        <v/>
      </c>
      <c r="C67" s="496">
        <f>IF(D11="","-",+C66+1)</f>
        <v>2063</v>
      </c>
      <c r="D67" s="509">
        <f>IF(F66+SUM(E$17:E66)=D$10,F66,D$10-SUM(E$17:E66))</f>
        <v>0</v>
      </c>
      <c r="E67" s="510">
        <f t="shared" si="7"/>
        <v>0</v>
      </c>
      <c r="F67" s="511">
        <f t="shared" si="8"/>
        <v>0</v>
      </c>
      <c r="G67" s="512">
        <f t="shared" si="9"/>
        <v>0</v>
      </c>
      <c r="H67" s="478">
        <f t="shared" si="10"/>
        <v>0</v>
      </c>
      <c r="I67" s="501">
        <f t="shared" si="6"/>
        <v>0</v>
      </c>
      <c r="J67" s="501"/>
      <c r="K67" s="513"/>
      <c r="L67" s="505">
        <f t="shared" si="2"/>
        <v>0</v>
      </c>
      <c r="M67" s="513"/>
      <c r="N67" s="505">
        <f t="shared" si="4"/>
        <v>0</v>
      </c>
      <c r="O67" s="505">
        <f t="shared" si="5"/>
        <v>0</v>
      </c>
      <c r="P67" s="279"/>
      <c r="R67" s="244"/>
      <c r="S67" s="244"/>
      <c r="T67" s="244"/>
      <c r="U67" s="244"/>
    </row>
    <row r="68" spans="2:21" ht="12.5">
      <c r="B68" s="145" t="str">
        <f t="shared" si="0"/>
        <v/>
      </c>
      <c r="C68" s="496">
        <f>IF(D11="","-",+C67+1)</f>
        <v>2064</v>
      </c>
      <c r="D68" s="509">
        <f>IF(F67+SUM(E$17:E67)=D$10,F67,D$10-SUM(E$17:E67))</f>
        <v>0</v>
      </c>
      <c r="E68" s="510">
        <f t="shared" si="7"/>
        <v>0</v>
      </c>
      <c r="F68" s="511">
        <f t="shared" si="8"/>
        <v>0</v>
      </c>
      <c r="G68" s="512">
        <f t="shared" si="9"/>
        <v>0</v>
      </c>
      <c r="H68" s="478">
        <f t="shared" si="10"/>
        <v>0</v>
      </c>
      <c r="I68" s="501">
        <f t="shared" si="6"/>
        <v>0</v>
      </c>
      <c r="J68" s="501"/>
      <c r="K68" s="513"/>
      <c r="L68" s="505">
        <f t="shared" si="2"/>
        <v>0</v>
      </c>
      <c r="M68" s="513"/>
      <c r="N68" s="505">
        <f t="shared" si="4"/>
        <v>0</v>
      </c>
      <c r="O68" s="505">
        <f t="shared" si="5"/>
        <v>0</v>
      </c>
      <c r="P68" s="279"/>
      <c r="R68" s="244"/>
      <c r="S68" s="244"/>
      <c r="T68" s="244"/>
      <c r="U68" s="244"/>
    </row>
    <row r="69" spans="2:21" ht="12.5">
      <c r="B69" s="145" t="str">
        <f t="shared" si="0"/>
        <v/>
      </c>
      <c r="C69" s="496">
        <f>IF(D11="","-",+C68+1)</f>
        <v>2065</v>
      </c>
      <c r="D69" s="509">
        <f>IF(F68+SUM(E$17:E68)=D$10,F68,D$10-SUM(E$17:E68))</f>
        <v>0</v>
      </c>
      <c r="E69" s="510">
        <f t="shared" si="7"/>
        <v>0</v>
      </c>
      <c r="F69" s="511">
        <f t="shared" si="8"/>
        <v>0</v>
      </c>
      <c r="G69" s="512">
        <f t="shared" si="9"/>
        <v>0</v>
      </c>
      <c r="H69" s="478">
        <f t="shared" si="10"/>
        <v>0</v>
      </c>
      <c r="I69" s="501">
        <f t="shared" si="6"/>
        <v>0</v>
      </c>
      <c r="J69" s="501"/>
      <c r="K69" s="513"/>
      <c r="L69" s="505">
        <f t="shared" si="2"/>
        <v>0</v>
      </c>
      <c r="M69" s="513"/>
      <c r="N69" s="505">
        <f t="shared" si="4"/>
        <v>0</v>
      </c>
      <c r="O69" s="505">
        <f t="shared" si="5"/>
        <v>0</v>
      </c>
      <c r="P69" s="279"/>
      <c r="R69" s="244"/>
      <c r="S69" s="244"/>
      <c r="T69" s="244"/>
      <c r="U69" s="244"/>
    </row>
    <row r="70" spans="2:21" ht="12.5">
      <c r="B70" s="145" t="str">
        <f t="shared" si="0"/>
        <v/>
      </c>
      <c r="C70" s="496">
        <f>IF(D11="","-",+C69+1)</f>
        <v>2066</v>
      </c>
      <c r="D70" s="509">
        <f>IF(F69+SUM(E$17:E69)=D$10,F69,D$10-SUM(E$17:E69))</f>
        <v>0</v>
      </c>
      <c r="E70" s="510">
        <f t="shared" si="7"/>
        <v>0</v>
      </c>
      <c r="F70" s="511">
        <f t="shared" si="8"/>
        <v>0</v>
      </c>
      <c r="G70" s="512">
        <f t="shared" si="9"/>
        <v>0</v>
      </c>
      <c r="H70" s="478">
        <f t="shared" si="10"/>
        <v>0</v>
      </c>
      <c r="I70" s="501">
        <f t="shared" si="6"/>
        <v>0</v>
      </c>
      <c r="J70" s="501"/>
      <c r="K70" s="513"/>
      <c r="L70" s="505">
        <f t="shared" si="2"/>
        <v>0</v>
      </c>
      <c r="M70" s="513"/>
      <c r="N70" s="505">
        <f t="shared" si="4"/>
        <v>0</v>
      </c>
      <c r="O70" s="505">
        <f t="shared" si="5"/>
        <v>0</v>
      </c>
      <c r="P70" s="279"/>
      <c r="R70" s="244"/>
      <c r="S70" s="244"/>
      <c r="T70" s="244"/>
      <c r="U70" s="244"/>
    </row>
    <row r="71" spans="2:21" ht="12.5">
      <c r="B71" s="145" t="str">
        <f t="shared" si="0"/>
        <v/>
      </c>
      <c r="C71" s="496">
        <f>IF(D11="","-",+C70+1)</f>
        <v>2067</v>
      </c>
      <c r="D71" s="509">
        <f>IF(F70+SUM(E$17:E70)=D$10,F70,D$10-SUM(E$17:E70))</f>
        <v>0</v>
      </c>
      <c r="E71" s="510">
        <f t="shared" si="7"/>
        <v>0</v>
      </c>
      <c r="F71" s="511">
        <f t="shared" si="8"/>
        <v>0</v>
      </c>
      <c r="G71" s="512">
        <f t="shared" si="9"/>
        <v>0</v>
      </c>
      <c r="H71" s="478">
        <f t="shared" si="10"/>
        <v>0</v>
      </c>
      <c r="I71" s="501">
        <f t="shared" si="6"/>
        <v>0</v>
      </c>
      <c r="J71" s="501"/>
      <c r="K71" s="513"/>
      <c r="L71" s="505">
        <f t="shared" si="2"/>
        <v>0</v>
      </c>
      <c r="M71" s="513"/>
      <c r="N71" s="505">
        <f t="shared" si="4"/>
        <v>0</v>
      </c>
      <c r="O71" s="505">
        <f t="shared" si="5"/>
        <v>0</v>
      </c>
      <c r="P71" s="279"/>
      <c r="R71" s="244"/>
      <c r="S71" s="244"/>
      <c r="T71" s="244"/>
      <c r="U71" s="244"/>
    </row>
    <row r="72" spans="2:21" ht="12.5">
      <c r="B72" s="145" t="str">
        <f t="shared" si="0"/>
        <v/>
      </c>
      <c r="C72" s="496">
        <f>IF(D11="","-",+C71+1)</f>
        <v>2068</v>
      </c>
      <c r="D72" s="509">
        <f>IF(F71+SUM(E$17:E71)=D$10,F71,D$10-SUM(E$17:E71))</f>
        <v>0</v>
      </c>
      <c r="E72" s="510">
        <f t="shared" si="7"/>
        <v>0</v>
      </c>
      <c r="F72" s="511">
        <f t="shared" si="8"/>
        <v>0</v>
      </c>
      <c r="G72" s="512">
        <f t="shared" si="9"/>
        <v>0</v>
      </c>
      <c r="H72" s="478">
        <f t="shared" si="10"/>
        <v>0</v>
      </c>
      <c r="I72" s="501">
        <f t="shared" si="6"/>
        <v>0</v>
      </c>
      <c r="J72" s="501"/>
      <c r="K72" s="513"/>
      <c r="L72" s="505">
        <f t="shared" si="2"/>
        <v>0</v>
      </c>
      <c r="M72" s="513"/>
      <c r="N72" s="505">
        <f t="shared" si="4"/>
        <v>0</v>
      </c>
      <c r="O72" s="505">
        <f t="shared" si="5"/>
        <v>0</v>
      </c>
      <c r="P72" s="279"/>
      <c r="R72" s="244"/>
      <c r="S72" s="244"/>
      <c r="T72" s="244"/>
      <c r="U72" s="244"/>
    </row>
    <row r="73" spans="2:21" ht="13" thickBot="1">
      <c r="B73" s="145" t="str">
        <f t="shared" si="0"/>
        <v/>
      </c>
      <c r="C73" s="525">
        <f>IF(D11="","-",+C72+1)</f>
        <v>2069</v>
      </c>
      <c r="D73" s="526">
        <f>IF(F72+SUM(E$17:E72)=D$10,F72,D$10-SUM(E$17:E72))</f>
        <v>0</v>
      </c>
      <c r="E73" s="527">
        <f t="shared" si="7"/>
        <v>0</v>
      </c>
      <c r="F73" s="528">
        <f t="shared" si="8"/>
        <v>0</v>
      </c>
      <c r="G73" s="528">
        <f t="shared" si="9"/>
        <v>0</v>
      </c>
      <c r="H73" s="528">
        <f t="shared" si="10"/>
        <v>0</v>
      </c>
      <c r="I73" s="530">
        <f t="shared" si="6"/>
        <v>0</v>
      </c>
      <c r="J73" s="501"/>
      <c r="K73" s="531"/>
      <c r="L73" s="532">
        <f t="shared" si="2"/>
        <v>0</v>
      </c>
      <c r="M73" s="531"/>
      <c r="N73" s="532">
        <f t="shared" si="4"/>
        <v>0</v>
      </c>
      <c r="O73" s="532">
        <f t="shared" si="5"/>
        <v>0</v>
      </c>
      <c r="P73" s="279"/>
      <c r="R73" s="244"/>
      <c r="S73" s="244"/>
      <c r="T73" s="244"/>
      <c r="U73" s="244"/>
    </row>
    <row r="74" spans="2:21" ht="12.5">
      <c r="C74" s="350" t="s">
        <v>75</v>
      </c>
      <c r="D74" s="295"/>
      <c r="E74" s="295">
        <f>SUM(E17:E73)</f>
        <v>4817114</v>
      </c>
      <c r="F74" s="295"/>
      <c r="G74" s="295">
        <f>SUM(G17:G73)</f>
        <v>6950178.0467930911</v>
      </c>
      <c r="H74" s="295">
        <f>SUM(H17:H73)</f>
        <v>6950178.0467930911</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439" t="str">
        <f ca="1">P1</f>
        <v>OKT Project 13 of 19</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2019</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0</v>
      </c>
      <c r="N88" s="545">
        <f>IF(J93&lt;D11,0,VLOOKUP(J93,C17:O73,11))</f>
        <v>0</v>
      </c>
      <c r="O88" s="546">
        <f>+N88-M88</f>
        <v>0</v>
      </c>
      <c r="P88" s="244"/>
      <c r="Q88" s="244"/>
      <c r="R88" s="244"/>
      <c r="S88" s="244"/>
      <c r="T88" s="244"/>
      <c r="U88" s="244"/>
    </row>
    <row r="89" spans="1:21" ht="15.5">
      <c r="C89" s="637" t="s">
        <v>267</v>
      </c>
      <c r="D89" s="293"/>
      <c r="E89" s="244"/>
      <c r="F89" s="244"/>
      <c r="G89" s="244"/>
      <c r="H89" s="244"/>
      <c r="I89" s="450"/>
      <c r="J89" s="450"/>
      <c r="K89" s="547"/>
      <c r="L89" s="548" t="s">
        <v>254</v>
      </c>
      <c r="M89" s="549">
        <f>IF(J93&lt;D11,0,VLOOKUP(J93,C100:P155,6))</f>
        <v>611561.28076019743</v>
      </c>
      <c r="N89" s="549">
        <f>IF(J93&lt;D11,0,VLOOKUP(J93,C100:P155,7))</f>
        <v>611561.28076019743</v>
      </c>
      <c r="O89" s="550">
        <f>+N89-M89</f>
        <v>0</v>
      </c>
      <c r="P89" s="244"/>
      <c r="Q89" s="244"/>
      <c r="R89" s="244"/>
      <c r="S89" s="244"/>
      <c r="T89" s="244"/>
      <c r="U89" s="244"/>
    </row>
    <row r="90" spans="1:21" ht="13.5" thickBot="1">
      <c r="C90" s="455" t="s">
        <v>82</v>
      </c>
      <c r="D90" s="551" t="str">
        <f>+D7</f>
        <v>Ellis 138 kV</v>
      </c>
      <c r="E90" s="244"/>
      <c r="F90" s="244"/>
      <c r="G90" s="244"/>
      <c r="H90" s="244"/>
      <c r="I90" s="326"/>
      <c r="J90" s="326"/>
      <c r="K90" s="552"/>
      <c r="L90" s="553" t="s">
        <v>135</v>
      </c>
      <c r="M90" s="554">
        <f>+M89-M88</f>
        <v>611561.28076019743</v>
      </c>
      <c r="N90" s="554">
        <f>+N89-N88</f>
        <v>611561.28076019743</v>
      </c>
      <c r="O90" s="555">
        <f>+O89-O88</f>
        <v>0</v>
      </c>
      <c r="P90" s="244"/>
      <c r="Q90" s="244"/>
      <c r="R90" s="244"/>
      <c r="S90" s="244"/>
      <c r="T90" s="244"/>
      <c r="U90" s="244"/>
    </row>
    <row r="91" spans="1:21" ht="13.5" thickBot="1">
      <c r="C91" s="533"/>
      <c r="D91" s="627" t="str">
        <f>IF(D8="","",D8)</f>
        <v>***Sch. 11 recovery commenced in 2015 rate year***</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TP2012055</v>
      </c>
      <c r="E92" s="559"/>
      <c r="F92" s="559"/>
      <c r="G92" s="559"/>
      <c r="H92" s="559"/>
      <c r="I92" s="559"/>
      <c r="J92" s="559"/>
      <c r="K92" s="561"/>
      <c r="P92" s="469"/>
      <c r="Q92" s="244"/>
      <c r="R92" s="244"/>
      <c r="S92" s="244"/>
      <c r="T92" s="244"/>
      <c r="U92" s="244"/>
    </row>
    <row r="93" spans="1:21" ht="13">
      <c r="C93" s="473" t="s">
        <v>49</v>
      </c>
      <c r="D93" s="471">
        <v>4817114</v>
      </c>
      <c r="E93" s="249" t="s">
        <v>84</v>
      </c>
      <c r="H93" s="409"/>
      <c r="I93" s="409"/>
      <c r="J93" s="472">
        <f>+'OKT.WS.G.BPU.ATRR.True-up'!M16</f>
        <v>2019</v>
      </c>
      <c r="K93" s="468"/>
      <c r="L93" s="295" t="s">
        <v>85</v>
      </c>
      <c r="P93" s="279"/>
      <c r="Q93" s="244"/>
      <c r="R93" s="244"/>
      <c r="S93" s="244"/>
      <c r="T93" s="244"/>
      <c r="U93" s="244"/>
    </row>
    <row r="94" spans="1:21" ht="12.5">
      <c r="C94" s="473" t="s">
        <v>52</v>
      </c>
      <c r="D94" s="562">
        <f>D11</f>
        <v>2013</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62">
        <f>D12</f>
        <v>10</v>
      </c>
      <c r="E95" s="473" t="s">
        <v>55</v>
      </c>
      <c r="F95" s="409"/>
      <c r="G95" s="409"/>
      <c r="J95" s="477">
        <f>'OKT.WS.G.BPU.ATRR.True-up'!$F$81</f>
        <v>0.10800922592579221</v>
      </c>
      <c r="K95" s="414"/>
      <c r="L95" s="145" t="s">
        <v>86</v>
      </c>
      <c r="P95" s="279"/>
      <c r="Q95" s="244"/>
      <c r="R95" s="244"/>
      <c r="S95" s="244"/>
      <c r="T95" s="244"/>
      <c r="U95" s="244"/>
    </row>
    <row r="96" spans="1:21" ht="12.5">
      <c r="C96" s="473" t="s">
        <v>57</v>
      </c>
      <c r="D96" s="475">
        <f>'OKT.WS.G.BPU.ATRR.True-up'!F$93</f>
        <v>33</v>
      </c>
      <c r="E96" s="473" t="s">
        <v>58</v>
      </c>
      <c r="F96" s="409"/>
      <c r="G96" s="409"/>
      <c r="J96" s="477">
        <f>IF(H88="",J95,'OKT.WS.G.BPU.ATRR.True-up'!$F$80)</f>
        <v>0.10800922592579221</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145973.15151515152</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C100" s="496">
        <f>IF(D94= "","-",D94)</f>
        <v>2013</v>
      </c>
      <c r="D100" s="350"/>
      <c r="E100" s="512"/>
      <c r="F100" s="511"/>
      <c r="G100" s="606"/>
      <c r="H100" s="606"/>
      <c r="I100" s="606"/>
      <c r="J100" s="505"/>
      <c r="K100" s="505"/>
      <c r="L100" s="502"/>
      <c r="M100" s="503">
        <f t="shared" ref="M100:M131" si="11">IF(L100&lt;&gt;0,+H100-L100,0)</f>
        <v>0</v>
      </c>
      <c r="N100" s="502"/>
      <c r="O100" s="504">
        <f t="shared" ref="O100:O131" si="12">IF(N100&lt;&gt;0,+I100-N100,0)</f>
        <v>0</v>
      </c>
      <c r="P100" s="504">
        <f t="shared" ref="P100:P131" si="13">+O100-M100</f>
        <v>0</v>
      </c>
      <c r="Q100" s="244"/>
      <c r="R100" s="244"/>
      <c r="S100" s="244"/>
      <c r="T100" s="244"/>
      <c r="U100" s="244"/>
    </row>
    <row r="101" spans="1:21" ht="12.5">
      <c r="C101" s="496">
        <f>IF(D94="","-",+C100+1)</f>
        <v>2014</v>
      </c>
      <c r="D101" s="350"/>
      <c r="E101" s="510"/>
      <c r="F101" s="511"/>
      <c r="G101" s="511"/>
      <c r="H101" s="628"/>
      <c r="I101" s="629"/>
      <c r="J101" s="505"/>
      <c r="K101" s="505"/>
      <c r="L101" s="507"/>
      <c r="M101" s="508">
        <f t="shared" si="11"/>
        <v>0</v>
      </c>
      <c r="N101" s="507"/>
      <c r="O101" s="505">
        <f t="shared" si="12"/>
        <v>0</v>
      </c>
      <c r="P101" s="505">
        <f t="shared" si="13"/>
        <v>0</v>
      </c>
      <c r="Q101" s="244"/>
      <c r="R101" s="244"/>
      <c r="S101" s="244"/>
      <c r="T101" s="244"/>
      <c r="U101" s="244"/>
    </row>
    <row r="102" spans="1:21" ht="12.5">
      <c r="B102" s="145" t="str">
        <f t="shared" ref="B102:B155" si="14">IF(D102=F101,"","IU")</f>
        <v>IU</v>
      </c>
      <c r="C102" s="496">
        <f>IF(D94="","-",+C101+1)</f>
        <v>2015</v>
      </c>
      <c r="D102" s="497">
        <v>4004216.6870407565</v>
      </c>
      <c r="E102" s="499">
        <v>85139.5</v>
      </c>
      <c r="F102" s="506">
        <v>3919077.1870407565</v>
      </c>
      <c r="G102" s="506">
        <v>3961646.9370407565</v>
      </c>
      <c r="H102" s="499">
        <v>526187.38978732098</v>
      </c>
      <c r="I102" s="500">
        <v>526187.38978732098</v>
      </c>
      <c r="J102" s="505">
        <v>0</v>
      </c>
      <c r="K102" s="505"/>
      <c r="L102" s="507">
        <f>H102</f>
        <v>526187.38978732098</v>
      </c>
      <c r="M102" s="505">
        <f>IF(L102&lt;&gt;0,+H102-L102,0)</f>
        <v>0</v>
      </c>
      <c r="N102" s="507">
        <f>I102</f>
        <v>526187.38978732098</v>
      </c>
      <c r="O102" s="505">
        <f t="shared" si="12"/>
        <v>0</v>
      </c>
      <c r="P102" s="505">
        <f t="shared" si="13"/>
        <v>0</v>
      </c>
      <c r="Q102" s="244"/>
      <c r="R102" s="244"/>
      <c r="S102" s="244"/>
      <c r="T102" s="244"/>
      <c r="U102" s="244"/>
    </row>
    <row r="103" spans="1:21" ht="12.5">
      <c r="B103" s="145" t="str">
        <f t="shared" si="14"/>
        <v>IU</v>
      </c>
      <c r="C103" s="496">
        <f>IF(D94="","-",+C102+1)</f>
        <v>2016</v>
      </c>
      <c r="D103" s="497">
        <v>4714898.5</v>
      </c>
      <c r="E103" s="499">
        <v>94118.392156862741</v>
      </c>
      <c r="F103" s="506">
        <v>4620780.1078431373</v>
      </c>
      <c r="G103" s="506">
        <v>4667839.3039215691</v>
      </c>
      <c r="H103" s="499">
        <v>599969.61415819218</v>
      </c>
      <c r="I103" s="500">
        <v>599969.61415819218</v>
      </c>
      <c r="J103" s="505">
        <f>+I103-H103</f>
        <v>0</v>
      </c>
      <c r="K103" s="505"/>
      <c r="L103" s="507">
        <f>H103</f>
        <v>599969.61415819218</v>
      </c>
      <c r="M103" s="505">
        <f>IF(L103&lt;&gt;0,+H103-L103,0)</f>
        <v>0</v>
      </c>
      <c r="N103" s="507">
        <f>I103</f>
        <v>599969.61415819218</v>
      </c>
      <c r="O103" s="505">
        <f>IF(N103&lt;&gt;0,+I103-N103,0)</f>
        <v>0</v>
      </c>
      <c r="P103" s="505">
        <f>+O103-M103</f>
        <v>0</v>
      </c>
      <c r="Q103" s="244"/>
      <c r="R103" s="244"/>
      <c r="S103" s="244"/>
      <c r="T103" s="244"/>
      <c r="U103" s="244"/>
    </row>
    <row r="104" spans="1:21" ht="12.5">
      <c r="B104" s="145" t="str">
        <f t="shared" si="14"/>
        <v>IU</v>
      </c>
      <c r="C104" s="496">
        <f>IF(D94="","-",+C103+1)</f>
        <v>2017</v>
      </c>
      <c r="D104" s="497">
        <v>4637856.1078431373</v>
      </c>
      <c r="E104" s="499">
        <v>120427.85</v>
      </c>
      <c r="F104" s="506">
        <v>4517428.2578431377</v>
      </c>
      <c r="G104" s="506">
        <v>4577642.1828431375</v>
      </c>
      <c r="H104" s="499">
        <v>657549.4515750818</v>
      </c>
      <c r="I104" s="500">
        <v>657549.4515750818</v>
      </c>
      <c r="J104" s="505">
        <v>0</v>
      </c>
      <c r="K104" s="505"/>
      <c r="L104" s="507">
        <f>H104</f>
        <v>657549.4515750818</v>
      </c>
      <c r="M104" s="505">
        <f>IF(L104&lt;&gt;0,+H104-L104,0)</f>
        <v>0</v>
      </c>
      <c r="N104" s="507">
        <f>I104</f>
        <v>657549.4515750818</v>
      </c>
      <c r="O104" s="505">
        <f>IF(N104&lt;&gt;0,+I104-N104,0)</f>
        <v>0</v>
      </c>
      <c r="P104" s="505">
        <f>+O104-M104</f>
        <v>0</v>
      </c>
      <c r="Q104" s="244"/>
      <c r="R104" s="244"/>
      <c r="S104" s="244"/>
      <c r="T104" s="244"/>
      <c r="U104" s="244"/>
    </row>
    <row r="105" spans="1:21" ht="12.5">
      <c r="B105" s="145" t="str">
        <f t="shared" si="14"/>
        <v/>
      </c>
      <c r="C105" s="496">
        <f>IF(D94="","-",+C104+1)</f>
        <v>2018</v>
      </c>
      <c r="D105" s="497">
        <v>4517428.2578431377</v>
      </c>
      <c r="E105" s="499">
        <v>133808.72222222222</v>
      </c>
      <c r="F105" s="506">
        <v>4383619.5356209157</v>
      </c>
      <c r="G105" s="506">
        <v>4450523.8967320267</v>
      </c>
      <c r="H105" s="499">
        <v>603616.92453524831</v>
      </c>
      <c r="I105" s="500">
        <v>603616.92453524831</v>
      </c>
      <c r="J105" s="505">
        <f t="shared" ref="J105:J155" si="15">+I105-H105</f>
        <v>0</v>
      </c>
      <c r="K105" s="505"/>
      <c r="L105" s="507">
        <f>H105</f>
        <v>603616.92453524831</v>
      </c>
      <c r="M105" s="505">
        <f>IF(L105&lt;&gt;0,+H105-L105,0)</f>
        <v>0</v>
      </c>
      <c r="N105" s="507">
        <f>I105</f>
        <v>603616.92453524831</v>
      </c>
      <c r="O105" s="505">
        <f>IF(N105&lt;&gt;0,+I105-N105,0)</f>
        <v>0</v>
      </c>
      <c r="P105" s="505">
        <f>+O105-M105</f>
        <v>0</v>
      </c>
      <c r="Q105" s="244"/>
      <c r="R105" s="244"/>
      <c r="S105" s="244"/>
      <c r="T105" s="244"/>
      <c r="U105" s="244"/>
    </row>
    <row r="106" spans="1:21" ht="12.5">
      <c r="B106" s="145" t="str">
        <f t="shared" si="14"/>
        <v/>
      </c>
      <c r="C106" s="496">
        <f>IF(D94="","-",+C105+1)</f>
        <v>2019</v>
      </c>
      <c r="D106" s="350">
        <f>IF(F105+SUM(E$100:E105)=D$93,F105,D$93-SUM(E$100:E105))</f>
        <v>4383619.5356209157</v>
      </c>
      <c r="E106" s="630">
        <f t="shared" ref="E106:E155" si="16">IF(+$J$97&lt;F105,$J$97,D106)</f>
        <v>145973.15151515152</v>
      </c>
      <c r="F106" s="511">
        <f t="shared" ref="F106:F155" si="17">+D106-E106</f>
        <v>4237646.3841057643</v>
      </c>
      <c r="G106" s="511">
        <f t="shared" ref="G106:G155" si="18">+(F106+D106)/2</f>
        <v>4310632.9598633405</v>
      </c>
      <c r="H106" s="631">
        <f t="shared" ref="H106:H155" si="19">+J$95*G106+E106</f>
        <v>611561.28076019743</v>
      </c>
      <c r="I106" s="632">
        <f t="shared" ref="I106:I155" si="20">+J$96*G106+E106</f>
        <v>611561.28076019743</v>
      </c>
      <c r="J106" s="505">
        <f t="shared" si="15"/>
        <v>0</v>
      </c>
      <c r="K106" s="505"/>
      <c r="L106" s="513"/>
      <c r="M106" s="505">
        <f t="shared" si="11"/>
        <v>0</v>
      </c>
      <c r="N106" s="513"/>
      <c r="O106" s="505">
        <f t="shared" si="12"/>
        <v>0</v>
      </c>
      <c r="P106" s="505">
        <f t="shared" si="13"/>
        <v>0</v>
      </c>
      <c r="Q106" s="244"/>
      <c r="R106" s="244"/>
      <c r="S106" s="244"/>
      <c r="T106" s="244"/>
      <c r="U106" s="244"/>
    </row>
    <row r="107" spans="1:21" ht="12.5">
      <c r="B107" s="145" t="str">
        <f t="shared" si="14"/>
        <v/>
      </c>
      <c r="C107" s="496">
        <f>IF(D94="","-",+C106+1)</f>
        <v>2020</v>
      </c>
      <c r="D107" s="350">
        <f>IF(F106+SUM(E$100:E106)=D$93,F106,D$93-SUM(E$100:E106))</f>
        <v>4237646.3841057643</v>
      </c>
      <c r="E107" s="630">
        <f t="shared" si="16"/>
        <v>145973.15151515152</v>
      </c>
      <c r="F107" s="511">
        <f t="shared" si="17"/>
        <v>4091673.232590613</v>
      </c>
      <c r="G107" s="511">
        <f t="shared" si="18"/>
        <v>4164659.8083481886</v>
      </c>
      <c r="H107" s="631">
        <f t="shared" si="19"/>
        <v>595794.83365909755</v>
      </c>
      <c r="I107" s="632">
        <f t="shared" si="20"/>
        <v>595794.83365909755</v>
      </c>
      <c r="J107" s="505">
        <f t="shared" si="15"/>
        <v>0</v>
      </c>
      <c r="K107" s="505"/>
      <c r="L107" s="513"/>
      <c r="M107" s="505">
        <f t="shared" si="11"/>
        <v>0</v>
      </c>
      <c r="N107" s="513"/>
      <c r="O107" s="505">
        <f t="shared" si="12"/>
        <v>0</v>
      </c>
      <c r="P107" s="505">
        <f t="shared" si="13"/>
        <v>0</v>
      </c>
      <c r="Q107" s="244"/>
      <c r="R107" s="244"/>
      <c r="S107" s="244"/>
      <c r="T107" s="244"/>
      <c r="U107" s="244"/>
    </row>
    <row r="108" spans="1:21" ht="12.5">
      <c r="B108" s="145" t="str">
        <f t="shared" si="14"/>
        <v/>
      </c>
      <c r="C108" s="496">
        <f>IF(D94="","-",+C107+1)</f>
        <v>2021</v>
      </c>
      <c r="D108" s="350">
        <f>IF(F107+SUM(E$100:E107)=D$93,F107,D$93-SUM(E$100:E107))</f>
        <v>4091673.232590613</v>
      </c>
      <c r="E108" s="630">
        <f t="shared" si="16"/>
        <v>145973.15151515152</v>
      </c>
      <c r="F108" s="511">
        <f t="shared" si="17"/>
        <v>3945700.0810754616</v>
      </c>
      <c r="G108" s="511">
        <f t="shared" si="18"/>
        <v>4018686.6568330373</v>
      </c>
      <c r="H108" s="631">
        <f t="shared" si="19"/>
        <v>580028.38655799767</v>
      </c>
      <c r="I108" s="632">
        <f t="shared" si="20"/>
        <v>580028.38655799767</v>
      </c>
      <c r="J108" s="505">
        <f t="shared" si="15"/>
        <v>0</v>
      </c>
      <c r="K108" s="505"/>
      <c r="L108" s="513"/>
      <c r="M108" s="505">
        <f t="shared" si="11"/>
        <v>0</v>
      </c>
      <c r="N108" s="513"/>
      <c r="O108" s="505">
        <f t="shared" si="12"/>
        <v>0</v>
      </c>
      <c r="P108" s="505">
        <f t="shared" si="13"/>
        <v>0</v>
      </c>
      <c r="Q108" s="244"/>
      <c r="R108" s="244"/>
      <c r="S108" s="244"/>
      <c r="T108" s="244"/>
      <c r="U108" s="244"/>
    </row>
    <row r="109" spans="1:21" ht="12.5">
      <c r="B109" s="145" t="str">
        <f t="shared" si="14"/>
        <v/>
      </c>
      <c r="C109" s="496">
        <f>IF(D94="","-",+C108+1)</f>
        <v>2022</v>
      </c>
      <c r="D109" s="350">
        <f>IF(F108+SUM(E$100:E108)=D$93,F108,D$93-SUM(E$100:E108))</f>
        <v>3945700.0810754616</v>
      </c>
      <c r="E109" s="630">
        <f t="shared" si="16"/>
        <v>145973.15151515152</v>
      </c>
      <c r="F109" s="511">
        <f t="shared" si="17"/>
        <v>3799726.9295603102</v>
      </c>
      <c r="G109" s="511">
        <f t="shared" si="18"/>
        <v>3872713.5053178859</v>
      </c>
      <c r="H109" s="631">
        <f t="shared" si="19"/>
        <v>564261.93945689779</v>
      </c>
      <c r="I109" s="632">
        <f t="shared" si="20"/>
        <v>564261.93945689779</v>
      </c>
      <c r="J109" s="505">
        <f t="shared" si="15"/>
        <v>0</v>
      </c>
      <c r="K109" s="505"/>
      <c r="L109" s="513"/>
      <c r="M109" s="505">
        <f t="shared" si="11"/>
        <v>0</v>
      </c>
      <c r="N109" s="513"/>
      <c r="O109" s="505">
        <f t="shared" si="12"/>
        <v>0</v>
      </c>
      <c r="P109" s="505">
        <f t="shared" si="13"/>
        <v>0</v>
      </c>
      <c r="Q109" s="244"/>
      <c r="R109" s="244"/>
      <c r="S109" s="244"/>
      <c r="T109" s="244"/>
      <c r="U109" s="244"/>
    </row>
    <row r="110" spans="1:21" ht="12.5">
      <c r="B110" s="145" t="str">
        <f t="shared" si="14"/>
        <v/>
      </c>
      <c r="C110" s="496">
        <f>IF(D94="","-",+C109+1)</f>
        <v>2023</v>
      </c>
      <c r="D110" s="350">
        <f>IF(F109+SUM(E$100:E109)=D$93,F109,D$93-SUM(E$100:E109))</f>
        <v>3799726.9295603102</v>
      </c>
      <c r="E110" s="630">
        <f t="shared" si="16"/>
        <v>145973.15151515152</v>
      </c>
      <c r="F110" s="511">
        <f t="shared" si="17"/>
        <v>3653753.7780451588</v>
      </c>
      <c r="G110" s="511">
        <f t="shared" si="18"/>
        <v>3726740.3538027345</v>
      </c>
      <c r="H110" s="631">
        <f t="shared" si="19"/>
        <v>548495.49235579791</v>
      </c>
      <c r="I110" s="632">
        <f t="shared" si="20"/>
        <v>548495.49235579791</v>
      </c>
      <c r="J110" s="505">
        <f t="shared" si="15"/>
        <v>0</v>
      </c>
      <c r="K110" s="505"/>
      <c r="L110" s="513"/>
      <c r="M110" s="505">
        <f t="shared" si="11"/>
        <v>0</v>
      </c>
      <c r="N110" s="513"/>
      <c r="O110" s="505">
        <f t="shared" si="12"/>
        <v>0</v>
      </c>
      <c r="P110" s="505">
        <f t="shared" si="13"/>
        <v>0</v>
      </c>
      <c r="Q110" s="244"/>
      <c r="R110" s="244"/>
      <c r="S110" s="244"/>
      <c r="T110" s="244"/>
      <c r="U110" s="244"/>
    </row>
    <row r="111" spans="1:21" ht="12.5">
      <c r="B111" s="145" t="str">
        <f t="shared" si="14"/>
        <v/>
      </c>
      <c r="C111" s="496">
        <f>IF(D94="","-",+C110+1)</f>
        <v>2024</v>
      </c>
      <c r="D111" s="350">
        <f>IF(F110+SUM(E$100:E110)=D$93,F110,D$93-SUM(E$100:E110))</f>
        <v>3653753.7780451588</v>
      </c>
      <c r="E111" s="630">
        <f t="shared" si="16"/>
        <v>145973.15151515152</v>
      </c>
      <c r="F111" s="511">
        <f t="shared" si="17"/>
        <v>3507780.6265300075</v>
      </c>
      <c r="G111" s="511">
        <f t="shared" si="18"/>
        <v>3580767.2022875831</v>
      </c>
      <c r="H111" s="631">
        <f t="shared" si="19"/>
        <v>532729.04525469802</v>
      </c>
      <c r="I111" s="632">
        <f t="shared" si="20"/>
        <v>532729.04525469802</v>
      </c>
      <c r="J111" s="505">
        <f t="shared" si="15"/>
        <v>0</v>
      </c>
      <c r="K111" s="505"/>
      <c r="L111" s="513"/>
      <c r="M111" s="505">
        <f t="shared" si="11"/>
        <v>0</v>
      </c>
      <c r="N111" s="513"/>
      <c r="O111" s="505">
        <f t="shared" si="12"/>
        <v>0</v>
      </c>
      <c r="P111" s="505">
        <f t="shared" si="13"/>
        <v>0</v>
      </c>
      <c r="Q111" s="244"/>
      <c r="R111" s="244"/>
      <c r="S111" s="244"/>
      <c r="T111" s="244"/>
      <c r="U111" s="244"/>
    </row>
    <row r="112" spans="1:21" ht="12.5">
      <c r="B112" s="145" t="str">
        <f t="shared" si="14"/>
        <v/>
      </c>
      <c r="C112" s="496">
        <f>IF(D94="","-",+C111+1)</f>
        <v>2025</v>
      </c>
      <c r="D112" s="350">
        <f>IF(F111+SUM(E$100:E111)=D$93,F111,D$93-SUM(E$100:E111))</f>
        <v>3507780.6265300075</v>
      </c>
      <c r="E112" s="630">
        <f t="shared" si="16"/>
        <v>145973.15151515152</v>
      </c>
      <c r="F112" s="511">
        <f t="shared" si="17"/>
        <v>3361807.4750148561</v>
      </c>
      <c r="G112" s="511">
        <f t="shared" si="18"/>
        <v>3434794.0507724318</v>
      </c>
      <c r="H112" s="631">
        <f t="shared" si="19"/>
        <v>516962.59815359814</v>
      </c>
      <c r="I112" s="632">
        <f t="shared" si="20"/>
        <v>516962.59815359814</v>
      </c>
      <c r="J112" s="505">
        <f t="shared" si="15"/>
        <v>0</v>
      </c>
      <c r="K112" s="505"/>
      <c r="L112" s="513"/>
      <c r="M112" s="505">
        <f t="shared" si="11"/>
        <v>0</v>
      </c>
      <c r="N112" s="513"/>
      <c r="O112" s="505">
        <f t="shared" si="12"/>
        <v>0</v>
      </c>
      <c r="P112" s="505">
        <f t="shared" si="13"/>
        <v>0</v>
      </c>
      <c r="Q112" s="244"/>
      <c r="R112" s="244"/>
      <c r="S112" s="244"/>
      <c r="T112" s="244"/>
      <c r="U112" s="244"/>
    </row>
    <row r="113" spans="2:21" ht="12.5">
      <c r="B113" s="145" t="str">
        <f t="shared" si="14"/>
        <v/>
      </c>
      <c r="C113" s="496">
        <f>IF(D94="","-",+C112+1)</f>
        <v>2026</v>
      </c>
      <c r="D113" s="350">
        <f>IF(F112+SUM(E$100:E112)=D$93,F112,D$93-SUM(E$100:E112))</f>
        <v>3361807.4750148561</v>
      </c>
      <c r="E113" s="630">
        <f t="shared" si="16"/>
        <v>145973.15151515152</v>
      </c>
      <c r="F113" s="511">
        <f t="shared" si="17"/>
        <v>3215834.3234997047</v>
      </c>
      <c r="G113" s="511">
        <f t="shared" si="18"/>
        <v>3288820.8992572804</v>
      </c>
      <c r="H113" s="631">
        <f t="shared" si="19"/>
        <v>501196.15105249826</v>
      </c>
      <c r="I113" s="632">
        <f t="shared" si="20"/>
        <v>501196.15105249826</v>
      </c>
      <c r="J113" s="505">
        <f t="shared" si="15"/>
        <v>0</v>
      </c>
      <c r="K113" s="505"/>
      <c r="L113" s="513"/>
      <c r="M113" s="505">
        <f t="shared" si="11"/>
        <v>0</v>
      </c>
      <c r="N113" s="513"/>
      <c r="O113" s="505">
        <f t="shared" si="12"/>
        <v>0</v>
      </c>
      <c r="P113" s="505">
        <f t="shared" si="13"/>
        <v>0</v>
      </c>
      <c r="Q113" s="244"/>
      <c r="R113" s="244"/>
      <c r="S113" s="244"/>
      <c r="T113" s="244"/>
      <c r="U113" s="244"/>
    </row>
    <row r="114" spans="2:21" ht="12.5">
      <c r="B114" s="145" t="str">
        <f t="shared" si="14"/>
        <v/>
      </c>
      <c r="C114" s="496">
        <f>IF(D94="","-",+C113+1)</f>
        <v>2027</v>
      </c>
      <c r="D114" s="350">
        <f>IF(F113+SUM(E$100:E113)=D$93,F113,D$93-SUM(E$100:E113))</f>
        <v>3215834.3234997047</v>
      </c>
      <c r="E114" s="630">
        <f t="shared" si="16"/>
        <v>145973.15151515152</v>
      </c>
      <c r="F114" s="511">
        <f t="shared" si="17"/>
        <v>3069861.1719845533</v>
      </c>
      <c r="G114" s="511">
        <f t="shared" si="18"/>
        <v>3142847.747742129</v>
      </c>
      <c r="H114" s="631">
        <f t="shared" si="19"/>
        <v>485429.70395139838</v>
      </c>
      <c r="I114" s="632">
        <f t="shared" si="20"/>
        <v>485429.70395139838</v>
      </c>
      <c r="J114" s="505">
        <f t="shared" si="15"/>
        <v>0</v>
      </c>
      <c r="K114" s="505"/>
      <c r="L114" s="513"/>
      <c r="M114" s="505">
        <f t="shared" si="11"/>
        <v>0</v>
      </c>
      <c r="N114" s="513"/>
      <c r="O114" s="505">
        <f t="shared" si="12"/>
        <v>0</v>
      </c>
      <c r="P114" s="505">
        <f t="shared" si="13"/>
        <v>0</v>
      </c>
      <c r="Q114" s="244"/>
      <c r="R114" s="244"/>
      <c r="S114" s="244"/>
      <c r="T114" s="244"/>
      <c r="U114" s="244"/>
    </row>
    <row r="115" spans="2:21" ht="12.5">
      <c r="B115" s="145" t="str">
        <f t="shared" si="14"/>
        <v/>
      </c>
      <c r="C115" s="496">
        <f>IF(D94="","-",+C114+1)</f>
        <v>2028</v>
      </c>
      <c r="D115" s="350">
        <f>IF(F114+SUM(E$100:E114)=D$93,F114,D$93-SUM(E$100:E114))</f>
        <v>3069861.1719845533</v>
      </c>
      <c r="E115" s="630">
        <f t="shared" si="16"/>
        <v>145973.15151515152</v>
      </c>
      <c r="F115" s="511">
        <f t="shared" si="17"/>
        <v>2923888.020469402</v>
      </c>
      <c r="G115" s="511">
        <f t="shared" si="18"/>
        <v>2996874.5962269777</v>
      </c>
      <c r="H115" s="631">
        <f t="shared" si="19"/>
        <v>469663.25685029849</v>
      </c>
      <c r="I115" s="632">
        <f t="shared" si="20"/>
        <v>469663.25685029849</v>
      </c>
      <c r="J115" s="505">
        <f t="shared" si="15"/>
        <v>0</v>
      </c>
      <c r="K115" s="505"/>
      <c r="L115" s="513"/>
      <c r="M115" s="505">
        <f t="shared" si="11"/>
        <v>0</v>
      </c>
      <c r="N115" s="513"/>
      <c r="O115" s="505">
        <f t="shared" si="12"/>
        <v>0</v>
      </c>
      <c r="P115" s="505">
        <f t="shared" si="13"/>
        <v>0</v>
      </c>
      <c r="Q115" s="244"/>
      <c r="R115" s="244"/>
      <c r="S115" s="244"/>
      <c r="T115" s="244"/>
      <c r="U115" s="244"/>
    </row>
    <row r="116" spans="2:21" ht="12.5">
      <c r="B116" s="145" t="str">
        <f t="shared" si="14"/>
        <v/>
      </c>
      <c r="C116" s="496">
        <f>IF(D94="","-",+C115+1)</f>
        <v>2029</v>
      </c>
      <c r="D116" s="350">
        <f>IF(F115+SUM(E$100:E115)=D$93,F115,D$93-SUM(E$100:E115))</f>
        <v>2923888.020469402</v>
      </c>
      <c r="E116" s="630">
        <f t="shared" si="16"/>
        <v>145973.15151515152</v>
      </c>
      <c r="F116" s="511">
        <f t="shared" si="17"/>
        <v>2777914.8689542506</v>
      </c>
      <c r="G116" s="511">
        <f t="shared" si="18"/>
        <v>2850901.4447118263</v>
      </c>
      <c r="H116" s="631">
        <f t="shared" si="19"/>
        <v>453896.80974919861</v>
      </c>
      <c r="I116" s="632">
        <f t="shared" si="20"/>
        <v>453896.80974919861</v>
      </c>
      <c r="J116" s="505">
        <f t="shared" si="15"/>
        <v>0</v>
      </c>
      <c r="K116" s="505"/>
      <c r="L116" s="513"/>
      <c r="M116" s="505">
        <f t="shared" si="11"/>
        <v>0</v>
      </c>
      <c r="N116" s="513"/>
      <c r="O116" s="505">
        <f t="shared" si="12"/>
        <v>0</v>
      </c>
      <c r="P116" s="505">
        <f t="shared" si="13"/>
        <v>0</v>
      </c>
      <c r="Q116" s="244"/>
      <c r="R116" s="244"/>
      <c r="S116" s="244"/>
      <c r="T116" s="244"/>
      <c r="U116" s="244"/>
    </row>
    <row r="117" spans="2:21" ht="12.5">
      <c r="B117" s="145" t="str">
        <f t="shared" si="14"/>
        <v/>
      </c>
      <c r="C117" s="496">
        <f>IF(D94="","-",+C116+1)</f>
        <v>2030</v>
      </c>
      <c r="D117" s="350">
        <f>IF(F116+SUM(E$100:E116)=D$93,F116,D$93-SUM(E$100:E116))</f>
        <v>2777914.8689542506</v>
      </c>
      <c r="E117" s="630">
        <f t="shared" si="16"/>
        <v>145973.15151515152</v>
      </c>
      <c r="F117" s="511">
        <f t="shared" si="17"/>
        <v>2631941.7174390992</v>
      </c>
      <c r="G117" s="511">
        <f t="shared" si="18"/>
        <v>2704928.2931966749</v>
      </c>
      <c r="H117" s="631">
        <f t="shared" si="19"/>
        <v>438130.36264809873</v>
      </c>
      <c r="I117" s="632">
        <f t="shared" si="20"/>
        <v>438130.36264809873</v>
      </c>
      <c r="J117" s="505">
        <f t="shared" si="15"/>
        <v>0</v>
      </c>
      <c r="K117" s="505"/>
      <c r="L117" s="513"/>
      <c r="M117" s="505">
        <f t="shared" si="11"/>
        <v>0</v>
      </c>
      <c r="N117" s="513"/>
      <c r="O117" s="505">
        <f t="shared" si="12"/>
        <v>0</v>
      </c>
      <c r="P117" s="505">
        <f t="shared" si="13"/>
        <v>0</v>
      </c>
      <c r="Q117" s="244"/>
      <c r="R117" s="244"/>
      <c r="S117" s="244"/>
      <c r="T117" s="244"/>
      <c r="U117" s="244"/>
    </row>
    <row r="118" spans="2:21" ht="12.5">
      <c r="B118" s="145" t="str">
        <f t="shared" si="14"/>
        <v/>
      </c>
      <c r="C118" s="496">
        <f>IF(D94="","-",+C117+1)</f>
        <v>2031</v>
      </c>
      <c r="D118" s="350">
        <f>IF(F117+SUM(E$100:E117)=D$93,F117,D$93-SUM(E$100:E117))</f>
        <v>2631941.7174390992</v>
      </c>
      <c r="E118" s="630">
        <f t="shared" si="16"/>
        <v>145973.15151515152</v>
      </c>
      <c r="F118" s="511">
        <f t="shared" si="17"/>
        <v>2485968.5659239478</v>
      </c>
      <c r="G118" s="511">
        <f t="shared" si="18"/>
        <v>2558955.1416815235</v>
      </c>
      <c r="H118" s="631">
        <f t="shared" si="19"/>
        <v>422363.91554699885</v>
      </c>
      <c r="I118" s="632">
        <f t="shared" si="20"/>
        <v>422363.91554699885</v>
      </c>
      <c r="J118" s="505">
        <f t="shared" si="15"/>
        <v>0</v>
      </c>
      <c r="K118" s="505"/>
      <c r="L118" s="513"/>
      <c r="M118" s="505">
        <f t="shared" si="11"/>
        <v>0</v>
      </c>
      <c r="N118" s="513"/>
      <c r="O118" s="505">
        <f t="shared" si="12"/>
        <v>0</v>
      </c>
      <c r="P118" s="505">
        <f t="shared" si="13"/>
        <v>0</v>
      </c>
      <c r="Q118" s="244"/>
      <c r="R118" s="244"/>
      <c r="S118" s="244"/>
      <c r="T118" s="244"/>
      <c r="U118" s="244"/>
    </row>
    <row r="119" spans="2:21" ht="12.5">
      <c r="B119" s="145" t="str">
        <f t="shared" si="14"/>
        <v/>
      </c>
      <c r="C119" s="496">
        <f>IF(D94="","-",+C118+1)</f>
        <v>2032</v>
      </c>
      <c r="D119" s="350">
        <f>IF(F118+SUM(E$100:E118)=D$93,F118,D$93-SUM(E$100:E118))</f>
        <v>2485968.5659239478</v>
      </c>
      <c r="E119" s="630">
        <f t="shared" si="16"/>
        <v>145973.15151515152</v>
      </c>
      <c r="F119" s="511">
        <f t="shared" si="17"/>
        <v>2339995.4144087965</v>
      </c>
      <c r="G119" s="511">
        <f t="shared" si="18"/>
        <v>2412981.9901663722</v>
      </c>
      <c r="H119" s="631">
        <f t="shared" si="19"/>
        <v>406597.46844589891</v>
      </c>
      <c r="I119" s="632">
        <f t="shared" si="20"/>
        <v>406597.46844589891</v>
      </c>
      <c r="J119" s="505">
        <f t="shared" si="15"/>
        <v>0</v>
      </c>
      <c r="K119" s="505"/>
      <c r="L119" s="513"/>
      <c r="M119" s="505">
        <f t="shared" si="11"/>
        <v>0</v>
      </c>
      <c r="N119" s="513"/>
      <c r="O119" s="505">
        <f t="shared" si="12"/>
        <v>0</v>
      </c>
      <c r="P119" s="505">
        <f t="shared" si="13"/>
        <v>0</v>
      </c>
      <c r="Q119" s="244"/>
      <c r="R119" s="244"/>
      <c r="S119" s="244"/>
      <c r="T119" s="244"/>
      <c r="U119" s="244"/>
    </row>
    <row r="120" spans="2:21" ht="12.5">
      <c r="B120" s="145" t="str">
        <f t="shared" si="14"/>
        <v/>
      </c>
      <c r="C120" s="496">
        <f>IF(D94="","-",+C119+1)</f>
        <v>2033</v>
      </c>
      <c r="D120" s="350">
        <f>IF(F119+SUM(E$100:E119)=D$93,F119,D$93-SUM(E$100:E119))</f>
        <v>2339995.4144087965</v>
      </c>
      <c r="E120" s="630">
        <f t="shared" si="16"/>
        <v>145973.15151515152</v>
      </c>
      <c r="F120" s="511">
        <f t="shared" si="17"/>
        <v>2194022.2628936451</v>
      </c>
      <c r="G120" s="511">
        <f t="shared" si="18"/>
        <v>2267008.8386512208</v>
      </c>
      <c r="H120" s="631">
        <f t="shared" si="19"/>
        <v>390831.02134479902</v>
      </c>
      <c r="I120" s="632">
        <f t="shared" si="20"/>
        <v>390831.02134479902</v>
      </c>
      <c r="J120" s="505">
        <f t="shared" si="15"/>
        <v>0</v>
      </c>
      <c r="K120" s="505"/>
      <c r="L120" s="513"/>
      <c r="M120" s="505">
        <f t="shared" si="11"/>
        <v>0</v>
      </c>
      <c r="N120" s="513"/>
      <c r="O120" s="505">
        <f t="shared" si="12"/>
        <v>0</v>
      </c>
      <c r="P120" s="505">
        <f t="shared" si="13"/>
        <v>0</v>
      </c>
      <c r="Q120" s="244"/>
      <c r="R120" s="244"/>
      <c r="S120" s="244"/>
      <c r="T120" s="244"/>
      <c r="U120" s="244"/>
    </row>
    <row r="121" spans="2:21" ht="12.5">
      <c r="B121" s="145" t="str">
        <f t="shared" si="14"/>
        <v/>
      </c>
      <c r="C121" s="496">
        <f>IF(D94="","-",+C120+1)</f>
        <v>2034</v>
      </c>
      <c r="D121" s="350">
        <f>IF(F120+SUM(E$100:E120)=D$93,F120,D$93-SUM(E$100:E120))</f>
        <v>2194022.2628936451</v>
      </c>
      <c r="E121" s="630">
        <f t="shared" si="16"/>
        <v>145973.15151515152</v>
      </c>
      <c r="F121" s="511">
        <f t="shared" si="17"/>
        <v>2048049.1113784935</v>
      </c>
      <c r="G121" s="511">
        <f t="shared" si="18"/>
        <v>2121035.6871360694</v>
      </c>
      <c r="H121" s="631">
        <f t="shared" si="19"/>
        <v>375064.57424369914</v>
      </c>
      <c r="I121" s="632">
        <f t="shared" si="20"/>
        <v>375064.57424369914</v>
      </c>
      <c r="J121" s="505">
        <f t="shared" si="15"/>
        <v>0</v>
      </c>
      <c r="K121" s="505"/>
      <c r="L121" s="513"/>
      <c r="M121" s="505">
        <f t="shared" si="11"/>
        <v>0</v>
      </c>
      <c r="N121" s="513"/>
      <c r="O121" s="505">
        <f t="shared" si="12"/>
        <v>0</v>
      </c>
      <c r="P121" s="505">
        <f t="shared" si="13"/>
        <v>0</v>
      </c>
      <c r="Q121" s="244"/>
      <c r="R121" s="244"/>
      <c r="S121" s="244"/>
      <c r="T121" s="244"/>
      <c r="U121" s="244"/>
    </row>
    <row r="122" spans="2:21" ht="12.5">
      <c r="B122" s="145" t="str">
        <f t="shared" si="14"/>
        <v/>
      </c>
      <c r="C122" s="496">
        <f>IF(D94="","-",+C121+1)</f>
        <v>2035</v>
      </c>
      <c r="D122" s="350">
        <f>IF(F121+SUM(E$100:E121)=D$93,F121,D$93-SUM(E$100:E121))</f>
        <v>2048049.1113784935</v>
      </c>
      <c r="E122" s="630">
        <f t="shared" si="16"/>
        <v>145973.15151515152</v>
      </c>
      <c r="F122" s="511">
        <f t="shared" si="17"/>
        <v>1902075.9598633419</v>
      </c>
      <c r="G122" s="511">
        <f t="shared" si="18"/>
        <v>1975062.5356209176</v>
      </c>
      <c r="H122" s="631">
        <f t="shared" si="19"/>
        <v>359298.1271425992</v>
      </c>
      <c r="I122" s="632">
        <f t="shared" si="20"/>
        <v>359298.1271425992</v>
      </c>
      <c r="J122" s="505">
        <f t="shared" si="15"/>
        <v>0</v>
      </c>
      <c r="K122" s="505"/>
      <c r="L122" s="513"/>
      <c r="M122" s="505">
        <f t="shared" si="11"/>
        <v>0</v>
      </c>
      <c r="N122" s="513"/>
      <c r="O122" s="505">
        <f t="shared" si="12"/>
        <v>0</v>
      </c>
      <c r="P122" s="505">
        <f t="shared" si="13"/>
        <v>0</v>
      </c>
      <c r="Q122" s="244"/>
      <c r="R122" s="244"/>
      <c r="S122" s="244"/>
      <c r="T122" s="244"/>
      <c r="U122" s="244"/>
    </row>
    <row r="123" spans="2:21" ht="12.5">
      <c r="B123" s="145" t="str">
        <f t="shared" si="14"/>
        <v/>
      </c>
      <c r="C123" s="496">
        <f>IF(D94="","-",+C122+1)</f>
        <v>2036</v>
      </c>
      <c r="D123" s="350">
        <f>IF(F122+SUM(E$100:E122)=D$93,F122,D$93-SUM(E$100:E122))</f>
        <v>1902075.9598633419</v>
      </c>
      <c r="E123" s="630">
        <f t="shared" si="16"/>
        <v>145973.15151515152</v>
      </c>
      <c r="F123" s="511">
        <f t="shared" si="17"/>
        <v>1756102.8083481903</v>
      </c>
      <c r="G123" s="511">
        <f t="shared" si="18"/>
        <v>1829089.3841057662</v>
      </c>
      <c r="H123" s="631">
        <f t="shared" si="19"/>
        <v>343531.68004149932</v>
      </c>
      <c r="I123" s="632">
        <f t="shared" si="20"/>
        <v>343531.68004149932</v>
      </c>
      <c r="J123" s="505">
        <f t="shared" si="15"/>
        <v>0</v>
      </c>
      <c r="K123" s="505"/>
      <c r="L123" s="513"/>
      <c r="M123" s="505">
        <f t="shared" si="11"/>
        <v>0</v>
      </c>
      <c r="N123" s="513"/>
      <c r="O123" s="505">
        <f t="shared" si="12"/>
        <v>0</v>
      </c>
      <c r="P123" s="505">
        <f t="shared" si="13"/>
        <v>0</v>
      </c>
      <c r="Q123" s="244"/>
      <c r="R123" s="244"/>
      <c r="S123" s="244"/>
      <c r="T123" s="244"/>
      <c r="U123" s="244"/>
    </row>
    <row r="124" spans="2:21" ht="12.5">
      <c r="B124" s="145" t="str">
        <f t="shared" si="14"/>
        <v/>
      </c>
      <c r="C124" s="496">
        <f>IF(D94="","-",+C123+1)</f>
        <v>2037</v>
      </c>
      <c r="D124" s="350">
        <f>IF(F123+SUM(E$100:E123)=D$93,F123,D$93-SUM(E$100:E123))</f>
        <v>1756102.8083481903</v>
      </c>
      <c r="E124" s="630">
        <f t="shared" si="16"/>
        <v>145973.15151515152</v>
      </c>
      <c r="F124" s="511">
        <f t="shared" si="17"/>
        <v>1610129.6568330387</v>
      </c>
      <c r="G124" s="511">
        <f t="shared" si="18"/>
        <v>1683116.2325906144</v>
      </c>
      <c r="H124" s="631">
        <f t="shared" si="19"/>
        <v>327765.23294039944</v>
      </c>
      <c r="I124" s="632">
        <f t="shared" si="20"/>
        <v>327765.23294039944</v>
      </c>
      <c r="J124" s="505">
        <f t="shared" si="15"/>
        <v>0</v>
      </c>
      <c r="K124" s="505"/>
      <c r="L124" s="513"/>
      <c r="M124" s="505">
        <f t="shared" si="11"/>
        <v>0</v>
      </c>
      <c r="N124" s="513"/>
      <c r="O124" s="505">
        <f t="shared" si="12"/>
        <v>0</v>
      </c>
      <c r="P124" s="505">
        <f t="shared" si="13"/>
        <v>0</v>
      </c>
      <c r="Q124" s="244"/>
      <c r="R124" s="244"/>
      <c r="S124" s="244"/>
      <c r="T124" s="244"/>
      <c r="U124" s="244"/>
    </row>
    <row r="125" spans="2:21" ht="12.5">
      <c r="B125" s="145" t="str">
        <f t="shared" si="14"/>
        <v/>
      </c>
      <c r="C125" s="496">
        <f>IF(D94="","-",+C124+1)</f>
        <v>2038</v>
      </c>
      <c r="D125" s="350">
        <f>IF(F124+SUM(E$100:E124)=D$93,F124,D$93-SUM(E$100:E124))</f>
        <v>1610129.6568330387</v>
      </c>
      <c r="E125" s="630">
        <f t="shared" si="16"/>
        <v>145973.15151515152</v>
      </c>
      <c r="F125" s="511">
        <f t="shared" si="17"/>
        <v>1464156.5053178871</v>
      </c>
      <c r="G125" s="511">
        <f t="shared" si="18"/>
        <v>1537143.081075463</v>
      </c>
      <c r="H125" s="631">
        <f t="shared" si="19"/>
        <v>311998.78583929955</v>
      </c>
      <c r="I125" s="632">
        <f t="shared" si="20"/>
        <v>311998.78583929955</v>
      </c>
      <c r="J125" s="505">
        <f t="shared" si="15"/>
        <v>0</v>
      </c>
      <c r="K125" s="505"/>
      <c r="L125" s="513"/>
      <c r="M125" s="505">
        <f t="shared" si="11"/>
        <v>0</v>
      </c>
      <c r="N125" s="513"/>
      <c r="O125" s="505">
        <f t="shared" si="12"/>
        <v>0</v>
      </c>
      <c r="P125" s="505">
        <f t="shared" si="13"/>
        <v>0</v>
      </c>
      <c r="Q125" s="244"/>
      <c r="R125" s="244"/>
      <c r="S125" s="244"/>
      <c r="T125" s="244"/>
      <c r="U125" s="244"/>
    </row>
    <row r="126" spans="2:21" ht="12.5">
      <c r="B126" s="145" t="str">
        <f t="shared" si="14"/>
        <v/>
      </c>
      <c r="C126" s="496">
        <f>IF(D94="","-",+C125+1)</f>
        <v>2039</v>
      </c>
      <c r="D126" s="350">
        <f>IF(F125+SUM(E$100:E125)=D$93,F125,D$93-SUM(E$100:E125))</f>
        <v>1464156.5053178871</v>
      </c>
      <c r="E126" s="630">
        <f t="shared" si="16"/>
        <v>145973.15151515152</v>
      </c>
      <c r="F126" s="511">
        <f t="shared" si="17"/>
        <v>1318183.3538027355</v>
      </c>
      <c r="G126" s="511">
        <f t="shared" si="18"/>
        <v>1391169.9295603111</v>
      </c>
      <c r="H126" s="631">
        <f t="shared" si="19"/>
        <v>296232.33873819956</v>
      </c>
      <c r="I126" s="632">
        <f t="shared" si="20"/>
        <v>296232.33873819956</v>
      </c>
      <c r="J126" s="505">
        <f t="shared" si="15"/>
        <v>0</v>
      </c>
      <c r="K126" s="505"/>
      <c r="L126" s="513"/>
      <c r="M126" s="505">
        <f t="shared" si="11"/>
        <v>0</v>
      </c>
      <c r="N126" s="513"/>
      <c r="O126" s="505">
        <f t="shared" si="12"/>
        <v>0</v>
      </c>
      <c r="P126" s="505">
        <f t="shared" si="13"/>
        <v>0</v>
      </c>
      <c r="Q126" s="244"/>
      <c r="R126" s="244"/>
      <c r="S126" s="244"/>
      <c r="T126" s="244"/>
      <c r="U126" s="244"/>
    </row>
    <row r="127" spans="2:21" ht="12.5">
      <c r="B127" s="145" t="str">
        <f t="shared" si="14"/>
        <v/>
      </c>
      <c r="C127" s="496">
        <f>IF(D94="","-",+C126+1)</f>
        <v>2040</v>
      </c>
      <c r="D127" s="350">
        <f>IF(F126+SUM(E$100:E126)=D$93,F126,D$93-SUM(E$100:E126))</f>
        <v>1318183.3538027355</v>
      </c>
      <c r="E127" s="630">
        <f t="shared" si="16"/>
        <v>145973.15151515152</v>
      </c>
      <c r="F127" s="511">
        <f t="shared" si="17"/>
        <v>1172210.2022875838</v>
      </c>
      <c r="G127" s="511">
        <f t="shared" si="18"/>
        <v>1245196.7780451598</v>
      </c>
      <c r="H127" s="631">
        <f t="shared" si="19"/>
        <v>280465.89163709967</v>
      </c>
      <c r="I127" s="632">
        <f t="shared" si="20"/>
        <v>280465.89163709967</v>
      </c>
      <c r="J127" s="505">
        <f t="shared" si="15"/>
        <v>0</v>
      </c>
      <c r="K127" s="505"/>
      <c r="L127" s="513"/>
      <c r="M127" s="505">
        <f t="shared" si="11"/>
        <v>0</v>
      </c>
      <c r="N127" s="513"/>
      <c r="O127" s="505">
        <f t="shared" si="12"/>
        <v>0</v>
      </c>
      <c r="P127" s="505">
        <f t="shared" si="13"/>
        <v>0</v>
      </c>
      <c r="Q127" s="244"/>
      <c r="R127" s="244"/>
      <c r="S127" s="244"/>
      <c r="T127" s="244"/>
      <c r="U127" s="244"/>
    </row>
    <row r="128" spans="2:21" ht="12.5">
      <c r="B128" s="145" t="str">
        <f t="shared" si="14"/>
        <v/>
      </c>
      <c r="C128" s="496">
        <f>IF(D94="","-",+C127+1)</f>
        <v>2041</v>
      </c>
      <c r="D128" s="350">
        <f>IF(F127+SUM(E$100:E127)=D$93,F127,D$93-SUM(E$100:E127))</f>
        <v>1172210.2022875838</v>
      </c>
      <c r="E128" s="630">
        <f t="shared" si="16"/>
        <v>145973.15151515152</v>
      </c>
      <c r="F128" s="511">
        <f t="shared" si="17"/>
        <v>1026237.0507724324</v>
      </c>
      <c r="G128" s="511">
        <f t="shared" si="18"/>
        <v>1099223.6265300082</v>
      </c>
      <c r="H128" s="631">
        <f t="shared" si="19"/>
        <v>264699.44453599979</v>
      </c>
      <c r="I128" s="632">
        <f t="shared" si="20"/>
        <v>264699.44453599979</v>
      </c>
      <c r="J128" s="505">
        <f t="shared" si="15"/>
        <v>0</v>
      </c>
      <c r="K128" s="505"/>
      <c r="L128" s="513"/>
      <c r="M128" s="505">
        <f t="shared" si="11"/>
        <v>0</v>
      </c>
      <c r="N128" s="513"/>
      <c r="O128" s="505">
        <f t="shared" si="12"/>
        <v>0</v>
      </c>
      <c r="P128" s="505">
        <f t="shared" si="13"/>
        <v>0</v>
      </c>
      <c r="Q128" s="244"/>
      <c r="R128" s="244"/>
      <c r="S128" s="244"/>
      <c r="T128" s="244"/>
      <c r="U128" s="244"/>
    </row>
    <row r="129" spans="2:21" ht="12.5">
      <c r="B129" s="145" t="str">
        <f t="shared" si="14"/>
        <v/>
      </c>
      <c r="C129" s="496">
        <f>IF(D94="","-",+C128+1)</f>
        <v>2042</v>
      </c>
      <c r="D129" s="350">
        <f>IF(F128+SUM(E$100:E128)=D$93,F128,D$93-SUM(E$100:E128))</f>
        <v>1026237.0507724324</v>
      </c>
      <c r="E129" s="630">
        <f t="shared" si="16"/>
        <v>145973.15151515152</v>
      </c>
      <c r="F129" s="511">
        <f t="shared" si="17"/>
        <v>880263.89925728086</v>
      </c>
      <c r="G129" s="511">
        <f t="shared" si="18"/>
        <v>953250.47501485655</v>
      </c>
      <c r="H129" s="631">
        <f t="shared" si="19"/>
        <v>248932.99743489991</v>
      </c>
      <c r="I129" s="632">
        <f t="shared" si="20"/>
        <v>248932.99743489991</v>
      </c>
      <c r="J129" s="505">
        <f t="shared" si="15"/>
        <v>0</v>
      </c>
      <c r="K129" s="505"/>
      <c r="L129" s="513"/>
      <c r="M129" s="505">
        <f t="shared" si="11"/>
        <v>0</v>
      </c>
      <c r="N129" s="513"/>
      <c r="O129" s="505">
        <f t="shared" si="12"/>
        <v>0</v>
      </c>
      <c r="P129" s="505">
        <f t="shared" si="13"/>
        <v>0</v>
      </c>
      <c r="Q129" s="244"/>
      <c r="R129" s="244"/>
      <c r="S129" s="244"/>
      <c r="T129" s="244"/>
      <c r="U129" s="244"/>
    </row>
    <row r="130" spans="2:21" ht="12.5">
      <c r="B130" s="145" t="str">
        <f t="shared" si="14"/>
        <v/>
      </c>
      <c r="C130" s="496">
        <f>IF(D94="","-",+C129+1)</f>
        <v>2043</v>
      </c>
      <c r="D130" s="350">
        <f>IF(F129+SUM(E$100:E129)=D$93,F129,D$93-SUM(E$100:E129))</f>
        <v>880263.89925728086</v>
      </c>
      <c r="E130" s="630">
        <f t="shared" si="16"/>
        <v>145973.15151515152</v>
      </c>
      <c r="F130" s="511">
        <f t="shared" si="17"/>
        <v>734290.74774212937</v>
      </c>
      <c r="G130" s="511">
        <f t="shared" si="18"/>
        <v>807277.32349970518</v>
      </c>
      <c r="H130" s="631">
        <f t="shared" si="19"/>
        <v>233166.55033380003</v>
      </c>
      <c r="I130" s="632">
        <f t="shared" si="20"/>
        <v>233166.55033380003</v>
      </c>
      <c r="J130" s="505">
        <f t="shared" si="15"/>
        <v>0</v>
      </c>
      <c r="K130" s="505"/>
      <c r="L130" s="513"/>
      <c r="M130" s="505">
        <f t="shared" si="11"/>
        <v>0</v>
      </c>
      <c r="N130" s="513"/>
      <c r="O130" s="505">
        <f t="shared" si="12"/>
        <v>0</v>
      </c>
      <c r="P130" s="505">
        <f t="shared" si="13"/>
        <v>0</v>
      </c>
      <c r="Q130" s="244"/>
      <c r="R130" s="244"/>
      <c r="S130" s="244"/>
      <c r="T130" s="244"/>
      <c r="U130" s="244"/>
    </row>
    <row r="131" spans="2:21" ht="12.5">
      <c r="B131" s="145" t="str">
        <f t="shared" si="14"/>
        <v/>
      </c>
      <c r="C131" s="496">
        <f>IF(D94="","-",+C130+1)</f>
        <v>2044</v>
      </c>
      <c r="D131" s="350">
        <f>IF(F130+SUM(E$100:E130)=D$93,F130,D$93-SUM(E$100:E130))</f>
        <v>734290.74774212937</v>
      </c>
      <c r="E131" s="630">
        <f t="shared" si="16"/>
        <v>145973.15151515152</v>
      </c>
      <c r="F131" s="511">
        <f t="shared" si="17"/>
        <v>588317.59622697788</v>
      </c>
      <c r="G131" s="511">
        <f t="shared" si="18"/>
        <v>661304.17198455357</v>
      </c>
      <c r="H131" s="631">
        <f t="shared" si="19"/>
        <v>217400.10323270012</v>
      </c>
      <c r="I131" s="632">
        <f t="shared" si="20"/>
        <v>217400.10323270012</v>
      </c>
      <c r="J131" s="505">
        <f t="shared" si="15"/>
        <v>0</v>
      </c>
      <c r="K131" s="505"/>
      <c r="L131" s="513"/>
      <c r="M131" s="505">
        <f t="shared" si="11"/>
        <v>0</v>
      </c>
      <c r="N131" s="513"/>
      <c r="O131" s="505">
        <f t="shared" si="12"/>
        <v>0</v>
      </c>
      <c r="P131" s="505">
        <f t="shared" si="13"/>
        <v>0</v>
      </c>
      <c r="Q131" s="244"/>
      <c r="R131" s="244"/>
      <c r="S131" s="244"/>
      <c r="T131" s="244"/>
      <c r="U131" s="244"/>
    </row>
    <row r="132" spans="2:21" ht="12.5">
      <c r="B132" s="145" t="str">
        <f t="shared" si="14"/>
        <v/>
      </c>
      <c r="C132" s="496">
        <f>IF(D94="","-",+C131+1)</f>
        <v>2045</v>
      </c>
      <c r="D132" s="350">
        <f>IF(F131+SUM(E$100:E131)=D$93,F131,D$93-SUM(E$100:E131))</f>
        <v>588317.59622697788</v>
      </c>
      <c r="E132" s="630">
        <f t="shared" si="16"/>
        <v>145973.15151515152</v>
      </c>
      <c r="F132" s="511">
        <f t="shared" si="17"/>
        <v>442344.44471182639</v>
      </c>
      <c r="G132" s="511">
        <f t="shared" si="18"/>
        <v>515331.02046940214</v>
      </c>
      <c r="H132" s="631">
        <f t="shared" si="19"/>
        <v>201633.65613160023</v>
      </c>
      <c r="I132" s="632">
        <f t="shared" si="20"/>
        <v>201633.65613160023</v>
      </c>
      <c r="J132" s="505">
        <f t="shared" si="15"/>
        <v>0</v>
      </c>
      <c r="K132" s="505"/>
      <c r="L132" s="513"/>
      <c r="M132" s="505">
        <f t="shared" ref="M132:M155" si="21">IF(L542&lt;&gt;0,+H542-L542,0)</f>
        <v>0</v>
      </c>
      <c r="N132" s="513"/>
      <c r="O132" s="505">
        <f t="shared" ref="O132:O155" si="22">IF(N542&lt;&gt;0,+I542-N542,0)</f>
        <v>0</v>
      </c>
      <c r="P132" s="505">
        <f t="shared" ref="P132:P155" si="23">+O542-M542</f>
        <v>0</v>
      </c>
      <c r="Q132" s="244"/>
      <c r="R132" s="244"/>
      <c r="S132" s="244"/>
      <c r="T132" s="244"/>
      <c r="U132" s="244"/>
    </row>
    <row r="133" spans="2:21" ht="12.5">
      <c r="B133" s="145" t="str">
        <f t="shared" si="14"/>
        <v/>
      </c>
      <c r="C133" s="496">
        <f>IF(D94="","-",+C132+1)</f>
        <v>2046</v>
      </c>
      <c r="D133" s="350">
        <f>IF(F132+SUM(E$100:E132)=D$93,F132,D$93-SUM(E$100:E132))</f>
        <v>442344.44471182639</v>
      </c>
      <c r="E133" s="630">
        <f t="shared" si="16"/>
        <v>145973.15151515152</v>
      </c>
      <c r="F133" s="511">
        <f t="shared" si="17"/>
        <v>296371.2931966749</v>
      </c>
      <c r="G133" s="511">
        <f t="shared" si="18"/>
        <v>369357.86895425065</v>
      </c>
      <c r="H133" s="631">
        <f t="shared" si="19"/>
        <v>185867.20903050032</v>
      </c>
      <c r="I133" s="632">
        <f t="shared" si="20"/>
        <v>185867.20903050032</v>
      </c>
      <c r="J133" s="505">
        <f t="shared" si="15"/>
        <v>0</v>
      </c>
      <c r="K133" s="505"/>
      <c r="L133" s="513"/>
      <c r="M133" s="505">
        <f t="shared" si="21"/>
        <v>0</v>
      </c>
      <c r="N133" s="513"/>
      <c r="O133" s="505">
        <f t="shared" si="22"/>
        <v>0</v>
      </c>
      <c r="P133" s="505">
        <f t="shared" si="23"/>
        <v>0</v>
      </c>
      <c r="Q133" s="244"/>
      <c r="R133" s="244"/>
      <c r="S133" s="244"/>
      <c r="T133" s="244"/>
      <c r="U133" s="244"/>
    </row>
    <row r="134" spans="2:21" ht="12.5">
      <c r="B134" s="145" t="str">
        <f t="shared" si="14"/>
        <v/>
      </c>
      <c r="C134" s="496">
        <f>IF(D94="","-",+C133+1)</f>
        <v>2047</v>
      </c>
      <c r="D134" s="350">
        <f>IF(F133+SUM(E$100:E133)=D$93,F133,D$93-SUM(E$100:E133))</f>
        <v>296371.2931966749</v>
      </c>
      <c r="E134" s="630">
        <f t="shared" si="16"/>
        <v>145973.15151515152</v>
      </c>
      <c r="F134" s="511">
        <f t="shared" si="17"/>
        <v>150398.14168152338</v>
      </c>
      <c r="G134" s="511">
        <f t="shared" si="18"/>
        <v>223384.71743909916</v>
      </c>
      <c r="H134" s="631">
        <f t="shared" si="19"/>
        <v>170100.76192940044</v>
      </c>
      <c r="I134" s="632">
        <f t="shared" si="20"/>
        <v>170100.76192940044</v>
      </c>
      <c r="J134" s="505">
        <f t="shared" si="15"/>
        <v>0</v>
      </c>
      <c r="K134" s="505"/>
      <c r="L134" s="513"/>
      <c r="M134" s="505">
        <f t="shared" si="21"/>
        <v>0</v>
      </c>
      <c r="N134" s="513"/>
      <c r="O134" s="505">
        <f t="shared" si="22"/>
        <v>0</v>
      </c>
      <c r="P134" s="505">
        <f t="shared" si="23"/>
        <v>0</v>
      </c>
      <c r="Q134" s="244"/>
      <c r="R134" s="244"/>
      <c r="S134" s="244"/>
      <c r="T134" s="244"/>
      <c r="U134" s="244"/>
    </row>
    <row r="135" spans="2:21" ht="12.5">
      <c r="B135" s="145" t="str">
        <f t="shared" si="14"/>
        <v/>
      </c>
      <c r="C135" s="496">
        <f>IF(D94="","-",+C134+1)</f>
        <v>2048</v>
      </c>
      <c r="D135" s="350">
        <f>IF(F134+SUM(E$100:E134)=D$93,F134,D$93-SUM(E$100:E134))</f>
        <v>150398.14168152338</v>
      </c>
      <c r="E135" s="630">
        <f t="shared" si="16"/>
        <v>145973.15151515152</v>
      </c>
      <c r="F135" s="511">
        <f t="shared" si="17"/>
        <v>4424.9901663718629</v>
      </c>
      <c r="G135" s="511">
        <f t="shared" si="18"/>
        <v>77411.565923947623</v>
      </c>
      <c r="H135" s="631">
        <f t="shared" si="19"/>
        <v>154334.31482830053</v>
      </c>
      <c r="I135" s="632">
        <f t="shared" si="20"/>
        <v>154334.31482830053</v>
      </c>
      <c r="J135" s="505">
        <f t="shared" si="15"/>
        <v>0</v>
      </c>
      <c r="K135" s="505"/>
      <c r="L135" s="513"/>
      <c r="M135" s="505">
        <f t="shared" si="21"/>
        <v>0</v>
      </c>
      <c r="N135" s="513"/>
      <c r="O135" s="505">
        <f t="shared" si="22"/>
        <v>0</v>
      </c>
      <c r="P135" s="505">
        <f t="shared" si="23"/>
        <v>0</v>
      </c>
      <c r="Q135" s="244"/>
      <c r="R135" s="244"/>
      <c r="S135" s="244"/>
      <c r="T135" s="244"/>
      <c r="U135" s="244"/>
    </row>
    <row r="136" spans="2:21" ht="12.5">
      <c r="B136" s="145" t="str">
        <f t="shared" si="14"/>
        <v/>
      </c>
      <c r="C136" s="496">
        <f>IF(D94="","-",+C135+1)</f>
        <v>2049</v>
      </c>
      <c r="D136" s="350">
        <f>IF(F135+SUM(E$100:E135)=D$93,F135,D$93-SUM(E$100:E135))</f>
        <v>4424.9901663718629</v>
      </c>
      <c r="E136" s="630">
        <f t="shared" si="16"/>
        <v>4424.9901663718629</v>
      </c>
      <c r="F136" s="511">
        <f t="shared" si="17"/>
        <v>0</v>
      </c>
      <c r="G136" s="511">
        <f t="shared" si="18"/>
        <v>2212.4950831859314</v>
      </c>
      <c r="H136" s="631">
        <f t="shared" si="19"/>
        <v>4663.9600476713968</v>
      </c>
      <c r="I136" s="632">
        <f t="shared" si="20"/>
        <v>4663.9600476713968</v>
      </c>
      <c r="J136" s="505">
        <f t="shared" si="15"/>
        <v>0</v>
      </c>
      <c r="K136" s="505"/>
      <c r="L136" s="513"/>
      <c r="M136" s="505">
        <f t="shared" si="21"/>
        <v>0</v>
      </c>
      <c r="N136" s="513"/>
      <c r="O136" s="505">
        <f t="shared" si="22"/>
        <v>0</v>
      </c>
      <c r="P136" s="505">
        <f t="shared" si="23"/>
        <v>0</v>
      </c>
      <c r="Q136" s="244"/>
      <c r="R136" s="244"/>
      <c r="S136" s="244"/>
      <c r="T136" s="244"/>
      <c r="U136" s="244"/>
    </row>
    <row r="137" spans="2:21" ht="12.5">
      <c r="B137" s="145" t="str">
        <f t="shared" si="14"/>
        <v/>
      </c>
      <c r="C137" s="496">
        <f>IF(D94="","-",+C136+1)</f>
        <v>2050</v>
      </c>
      <c r="D137" s="350">
        <f>IF(F136+SUM(E$100:E136)=D$93,F136,D$93-SUM(E$100:E136))</f>
        <v>0</v>
      </c>
      <c r="E137" s="630">
        <f t="shared" si="16"/>
        <v>0</v>
      </c>
      <c r="F137" s="511">
        <f t="shared" si="17"/>
        <v>0</v>
      </c>
      <c r="G137" s="511">
        <f t="shared" si="18"/>
        <v>0</v>
      </c>
      <c r="H137" s="631">
        <f t="shared" si="19"/>
        <v>0</v>
      </c>
      <c r="I137" s="632">
        <f t="shared" si="20"/>
        <v>0</v>
      </c>
      <c r="J137" s="505">
        <f t="shared" si="15"/>
        <v>0</v>
      </c>
      <c r="K137" s="505"/>
      <c r="L137" s="513"/>
      <c r="M137" s="505">
        <f t="shared" si="21"/>
        <v>0</v>
      </c>
      <c r="N137" s="513"/>
      <c r="O137" s="505">
        <f t="shared" si="22"/>
        <v>0</v>
      </c>
      <c r="P137" s="505">
        <f t="shared" si="23"/>
        <v>0</v>
      </c>
      <c r="Q137" s="244"/>
      <c r="R137" s="244"/>
      <c r="S137" s="244"/>
      <c r="T137" s="244"/>
      <c r="U137" s="244"/>
    </row>
    <row r="138" spans="2:21" ht="12.5">
      <c r="B138" s="145" t="str">
        <f t="shared" si="14"/>
        <v/>
      </c>
      <c r="C138" s="496">
        <f>IF(D94="","-",+C137+1)</f>
        <v>2051</v>
      </c>
      <c r="D138" s="350">
        <f>IF(F137+SUM(E$100:E137)=D$93,F137,D$93-SUM(E$100:E137))</f>
        <v>0</v>
      </c>
      <c r="E138" s="630">
        <f t="shared" si="16"/>
        <v>0</v>
      </c>
      <c r="F138" s="511">
        <f t="shared" si="17"/>
        <v>0</v>
      </c>
      <c r="G138" s="511">
        <f t="shared" si="18"/>
        <v>0</v>
      </c>
      <c r="H138" s="631">
        <f t="shared" si="19"/>
        <v>0</v>
      </c>
      <c r="I138" s="632">
        <f t="shared" si="20"/>
        <v>0</v>
      </c>
      <c r="J138" s="505">
        <f t="shared" si="15"/>
        <v>0</v>
      </c>
      <c r="K138" s="505"/>
      <c r="L138" s="513"/>
      <c r="M138" s="505">
        <f t="shared" si="21"/>
        <v>0</v>
      </c>
      <c r="N138" s="513"/>
      <c r="O138" s="505">
        <f t="shared" si="22"/>
        <v>0</v>
      </c>
      <c r="P138" s="505">
        <f t="shared" si="23"/>
        <v>0</v>
      </c>
      <c r="Q138" s="244"/>
      <c r="R138" s="244"/>
      <c r="S138" s="244"/>
      <c r="T138" s="244"/>
      <c r="U138" s="244"/>
    </row>
    <row r="139" spans="2:21" ht="12.5">
      <c r="B139" s="145" t="str">
        <f t="shared" si="14"/>
        <v/>
      </c>
      <c r="C139" s="496">
        <f>IF(D94="","-",+C138+1)</f>
        <v>2052</v>
      </c>
      <c r="D139" s="350">
        <f>IF(F138+SUM(E$100:E138)=D$93,F138,D$93-SUM(E$100:E138))</f>
        <v>0</v>
      </c>
      <c r="E139" s="630">
        <f t="shared" si="16"/>
        <v>0</v>
      </c>
      <c r="F139" s="511">
        <f t="shared" si="17"/>
        <v>0</v>
      </c>
      <c r="G139" s="511">
        <f t="shared" si="18"/>
        <v>0</v>
      </c>
      <c r="H139" s="631">
        <f t="shared" si="19"/>
        <v>0</v>
      </c>
      <c r="I139" s="632">
        <f t="shared" si="20"/>
        <v>0</v>
      </c>
      <c r="J139" s="505">
        <f t="shared" si="15"/>
        <v>0</v>
      </c>
      <c r="K139" s="505"/>
      <c r="L139" s="513"/>
      <c r="M139" s="505">
        <f t="shared" si="21"/>
        <v>0</v>
      </c>
      <c r="N139" s="513"/>
      <c r="O139" s="505">
        <f t="shared" si="22"/>
        <v>0</v>
      </c>
      <c r="P139" s="505">
        <f t="shared" si="23"/>
        <v>0</v>
      </c>
      <c r="Q139" s="244"/>
      <c r="R139" s="244"/>
      <c r="S139" s="244"/>
      <c r="T139" s="244"/>
      <c r="U139" s="244"/>
    </row>
    <row r="140" spans="2:21" ht="12.5">
      <c r="B140" s="145" t="str">
        <f t="shared" si="14"/>
        <v/>
      </c>
      <c r="C140" s="496">
        <f>IF(D94="","-",+C139+1)</f>
        <v>2053</v>
      </c>
      <c r="D140" s="350">
        <f>IF(F139+SUM(E$100:E139)=D$93,F139,D$93-SUM(E$100:E139))</f>
        <v>0</v>
      </c>
      <c r="E140" s="630">
        <f t="shared" si="16"/>
        <v>0</v>
      </c>
      <c r="F140" s="511">
        <f t="shared" si="17"/>
        <v>0</v>
      </c>
      <c r="G140" s="511">
        <f t="shared" si="18"/>
        <v>0</v>
      </c>
      <c r="H140" s="631">
        <f t="shared" si="19"/>
        <v>0</v>
      </c>
      <c r="I140" s="632">
        <f t="shared" si="20"/>
        <v>0</v>
      </c>
      <c r="J140" s="505">
        <f t="shared" si="15"/>
        <v>0</v>
      </c>
      <c r="K140" s="505"/>
      <c r="L140" s="513"/>
      <c r="M140" s="505">
        <f t="shared" si="21"/>
        <v>0</v>
      </c>
      <c r="N140" s="513"/>
      <c r="O140" s="505">
        <f t="shared" si="22"/>
        <v>0</v>
      </c>
      <c r="P140" s="505">
        <f t="shared" si="23"/>
        <v>0</v>
      </c>
      <c r="Q140" s="244"/>
      <c r="R140" s="244"/>
      <c r="S140" s="244"/>
      <c r="T140" s="244"/>
      <c r="U140" s="244"/>
    </row>
    <row r="141" spans="2:21" ht="12.5">
      <c r="B141" s="145" t="str">
        <f t="shared" si="14"/>
        <v/>
      </c>
      <c r="C141" s="496">
        <f>IF(D94="","-",+C140+1)</f>
        <v>2054</v>
      </c>
      <c r="D141" s="350">
        <f>IF(F140+SUM(E$100:E140)=D$93,F140,D$93-SUM(E$100:E140))</f>
        <v>0</v>
      </c>
      <c r="E141" s="630">
        <f t="shared" si="16"/>
        <v>0</v>
      </c>
      <c r="F141" s="511">
        <f t="shared" si="17"/>
        <v>0</v>
      </c>
      <c r="G141" s="511">
        <f t="shared" si="18"/>
        <v>0</v>
      </c>
      <c r="H141" s="631">
        <f t="shared" si="19"/>
        <v>0</v>
      </c>
      <c r="I141" s="632">
        <f t="shared" si="20"/>
        <v>0</v>
      </c>
      <c r="J141" s="505">
        <f t="shared" si="15"/>
        <v>0</v>
      </c>
      <c r="K141" s="505"/>
      <c r="L141" s="513"/>
      <c r="M141" s="505">
        <f t="shared" si="21"/>
        <v>0</v>
      </c>
      <c r="N141" s="513"/>
      <c r="O141" s="505">
        <f t="shared" si="22"/>
        <v>0</v>
      </c>
      <c r="P141" s="505">
        <f t="shared" si="23"/>
        <v>0</v>
      </c>
      <c r="Q141" s="244"/>
      <c r="R141" s="244"/>
      <c r="S141" s="244"/>
      <c r="T141" s="244"/>
      <c r="U141" s="244"/>
    </row>
    <row r="142" spans="2:21" ht="12.5">
      <c r="B142" s="145" t="str">
        <f t="shared" si="14"/>
        <v/>
      </c>
      <c r="C142" s="496">
        <f>IF(D94="","-",+C141+1)</f>
        <v>2055</v>
      </c>
      <c r="D142" s="350">
        <f>IF(F141+SUM(E$100:E141)=D$93,F141,D$93-SUM(E$100:E141))</f>
        <v>0</v>
      </c>
      <c r="E142" s="630">
        <f t="shared" si="16"/>
        <v>0</v>
      </c>
      <c r="F142" s="511">
        <f t="shared" si="17"/>
        <v>0</v>
      </c>
      <c r="G142" s="511">
        <f t="shared" si="18"/>
        <v>0</v>
      </c>
      <c r="H142" s="631">
        <f t="shared" si="19"/>
        <v>0</v>
      </c>
      <c r="I142" s="632">
        <f t="shared" si="20"/>
        <v>0</v>
      </c>
      <c r="J142" s="505">
        <f t="shared" si="15"/>
        <v>0</v>
      </c>
      <c r="K142" s="505"/>
      <c r="L142" s="513"/>
      <c r="M142" s="505">
        <f t="shared" si="21"/>
        <v>0</v>
      </c>
      <c r="N142" s="513"/>
      <c r="O142" s="505">
        <f t="shared" si="22"/>
        <v>0</v>
      </c>
      <c r="P142" s="505">
        <f t="shared" si="23"/>
        <v>0</v>
      </c>
      <c r="Q142" s="244"/>
      <c r="R142" s="244"/>
      <c r="S142" s="244"/>
      <c r="T142" s="244"/>
      <c r="U142" s="244"/>
    </row>
    <row r="143" spans="2:21" ht="12.5">
      <c r="B143" s="145" t="str">
        <f t="shared" si="14"/>
        <v/>
      </c>
      <c r="C143" s="496">
        <f>IF(D94="","-",+C142+1)</f>
        <v>2056</v>
      </c>
      <c r="D143" s="350">
        <f>IF(F142+SUM(E$100:E142)=D$93,F142,D$93-SUM(E$100:E142))</f>
        <v>0</v>
      </c>
      <c r="E143" s="630">
        <f t="shared" si="16"/>
        <v>0</v>
      </c>
      <c r="F143" s="511">
        <f t="shared" si="17"/>
        <v>0</v>
      </c>
      <c r="G143" s="511">
        <f t="shared" si="18"/>
        <v>0</v>
      </c>
      <c r="H143" s="631">
        <f t="shared" si="19"/>
        <v>0</v>
      </c>
      <c r="I143" s="632">
        <f t="shared" si="20"/>
        <v>0</v>
      </c>
      <c r="J143" s="505">
        <f t="shared" si="15"/>
        <v>0</v>
      </c>
      <c r="K143" s="505"/>
      <c r="L143" s="513"/>
      <c r="M143" s="505">
        <f t="shared" si="21"/>
        <v>0</v>
      </c>
      <c r="N143" s="513"/>
      <c r="O143" s="505">
        <f t="shared" si="22"/>
        <v>0</v>
      </c>
      <c r="P143" s="505">
        <f t="shared" si="23"/>
        <v>0</v>
      </c>
      <c r="Q143" s="244"/>
      <c r="R143" s="244"/>
      <c r="S143" s="244"/>
      <c r="T143" s="244"/>
      <c r="U143" s="244"/>
    </row>
    <row r="144" spans="2:21" ht="12.5">
      <c r="B144" s="145" t="str">
        <f t="shared" si="14"/>
        <v/>
      </c>
      <c r="C144" s="496">
        <f>IF(D94="","-",+C143+1)</f>
        <v>2057</v>
      </c>
      <c r="D144" s="350">
        <f>IF(F143+SUM(E$100:E143)=D$93,F143,D$93-SUM(E$100:E143))</f>
        <v>0</v>
      </c>
      <c r="E144" s="630">
        <f t="shared" si="16"/>
        <v>0</v>
      </c>
      <c r="F144" s="511">
        <f t="shared" si="17"/>
        <v>0</v>
      </c>
      <c r="G144" s="511">
        <f t="shared" si="18"/>
        <v>0</v>
      </c>
      <c r="H144" s="631">
        <f t="shared" si="19"/>
        <v>0</v>
      </c>
      <c r="I144" s="632">
        <f t="shared" si="20"/>
        <v>0</v>
      </c>
      <c r="J144" s="505">
        <f t="shared" si="15"/>
        <v>0</v>
      </c>
      <c r="K144" s="505"/>
      <c r="L144" s="513"/>
      <c r="M144" s="505">
        <f t="shared" si="21"/>
        <v>0</v>
      </c>
      <c r="N144" s="513"/>
      <c r="O144" s="505">
        <f t="shared" si="22"/>
        <v>0</v>
      </c>
      <c r="P144" s="505">
        <f t="shared" si="23"/>
        <v>0</v>
      </c>
      <c r="Q144" s="244"/>
      <c r="R144" s="244"/>
      <c r="S144" s="244"/>
      <c r="T144" s="244"/>
      <c r="U144" s="244"/>
    </row>
    <row r="145" spans="2:21" ht="12.5">
      <c r="B145" s="145" t="str">
        <f t="shared" si="14"/>
        <v/>
      </c>
      <c r="C145" s="496">
        <f>IF(D94="","-",+C144+1)</f>
        <v>2058</v>
      </c>
      <c r="D145" s="350">
        <f>IF(F144+SUM(E$100:E144)=D$93,F144,D$93-SUM(E$100:E144))</f>
        <v>0</v>
      </c>
      <c r="E145" s="630">
        <f t="shared" si="16"/>
        <v>0</v>
      </c>
      <c r="F145" s="511">
        <f t="shared" si="17"/>
        <v>0</v>
      </c>
      <c r="G145" s="511">
        <f t="shared" si="18"/>
        <v>0</v>
      </c>
      <c r="H145" s="631">
        <f t="shared" si="19"/>
        <v>0</v>
      </c>
      <c r="I145" s="632">
        <f t="shared" si="20"/>
        <v>0</v>
      </c>
      <c r="J145" s="505">
        <f t="shared" si="15"/>
        <v>0</v>
      </c>
      <c r="K145" s="505"/>
      <c r="L145" s="513"/>
      <c r="M145" s="505">
        <f t="shared" si="21"/>
        <v>0</v>
      </c>
      <c r="N145" s="513"/>
      <c r="O145" s="505">
        <f t="shared" si="22"/>
        <v>0</v>
      </c>
      <c r="P145" s="505">
        <f t="shared" si="23"/>
        <v>0</v>
      </c>
      <c r="Q145" s="244"/>
      <c r="R145" s="244"/>
      <c r="S145" s="244"/>
      <c r="T145" s="244"/>
      <c r="U145" s="244"/>
    </row>
    <row r="146" spans="2:21" ht="12.5">
      <c r="B146" s="145" t="str">
        <f t="shared" si="14"/>
        <v/>
      </c>
      <c r="C146" s="496">
        <f>IF(D94="","-",+C145+1)</f>
        <v>2059</v>
      </c>
      <c r="D146" s="350">
        <f>IF(F145+SUM(E$100:E145)=D$93,F145,D$93-SUM(E$100:E145))</f>
        <v>0</v>
      </c>
      <c r="E146" s="630">
        <f t="shared" si="16"/>
        <v>0</v>
      </c>
      <c r="F146" s="511">
        <f t="shared" si="17"/>
        <v>0</v>
      </c>
      <c r="G146" s="511">
        <f t="shared" si="18"/>
        <v>0</v>
      </c>
      <c r="H146" s="631">
        <f t="shared" si="19"/>
        <v>0</v>
      </c>
      <c r="I146" s="632">
        <f t="shared" si="20"/>
        <v>0</v>
      </c>
      <c r="J146" s="505">
        <f t="shared" si="15"/>
        <v>0</v>
      </c>
      <c r="K146" s="505"/>
      <c r="L146" s="513"/>
      <c r="M146" s="505">
        <f t="shared" si="21"/>
        <v>0</v>
      </c>
      <c r="N146" s="513"/>
      <c r="O146" s="505">
        <f t="shared" si="22"/>
        <v>0</v>
      </c>
      <c r="P146" s="505">
        <f t="shared" si="23"/>
        <v>0</v>
      </c>
      <c r="Q146" s="244"/>
      <c r="R146" s="244"/>
      <c r="S146" s="244"/>
      <c r="T146" s="244"/>
      <c r="U146" s="244"/>
    </row>
    <row r="147" spans="2:21" ht="12.5">
      <c r="B147" s="145" t="str">
        <f t="shared" si="14"/>
        <v/>
      </c>
      <c r="C147" s="496">
        <f>IF(D94="","-",+C146+1)</f>
        <v>2060</v>
      </c>
      <c r="D147" s="350">
        <f>IF(F146+SUM(E$100:E146)=D$93,F146,D$93-SUM(E$100:E146))</f>
        <v>0</v>
      </c>
      <c r="E147" s="630">
        <f t="shared" si="16"/>
        <v>0</v>
      </c>
      <c r="F147" s="511">
        <f t="shared" si="17"/>
        <v>0</v>
      </c>
      <c r="G147" s="511">
        <f t="shared" si="18"/>
        <v>0</v>
      </c>
      <c r="H147" s="631">
        <f t="shared" si="19"/>
        <v>0</v>
      </c>
      <c r="I147" s="632">
        <f t="shared" si="20"/>
        <v>0</v>
      </c>
      <c r="J147" s="505">
        <f t="shared" si="15"/>
        <v>0</v>
      </c>
      <c r="K147" s="505"/>
      <c r="L147" s="513"/>
      <c r="M147" s="505">
        <f t="shared" si="21"/>
        <v>0</v>
      </c>
      <c r="N147" s="513"/>
      <c r="O147" s="505">
        <f t="shared" si="22"/>
        <v>0</v>
      </c>
      <c r="P147" s="505">
        <f t="shared" si="23"/>
        <v>0</v>
      </c>
      <c r="Q147" s="244"/>
      <c r="R147" s="244"/>
      <c r="S147" s="244"/>
      <c r="T147" s="244"/>
      <c r="U147" s="244"/>
    </row>
    <row r="148" spans="2:21" ht="12.5">
      <c r="B148" s="145" t="str">
        <f t="shared" si="14"/>
        <v/>
      </c>
      <c r="C148" s="496">
        <f>IF(D94="","-",+C147+1)</f>
        <v>2061</v>
      </c>
      <c r="D148" s="350">
        <f>IF(F147+SUM(E$100:E147)=D$93,F147,D$93-SUM(E$100:E147))</f>
        <v>0</v>
      </c>
      <c r="E148" s="630">
        <f t="shared" si="16"/>
        <v>0</v>
      </c>
      <c r="F148" s="511">
        <f t="shared" si="17"/>
        <v>0</v>
      </c>
      <c r="G148" s="511">
        <f t="shared" si="18"/>
        <v>0</v>
      </c>
      <c r="H148" s="631">
        <f t="shared" si="19"/>
        <v>0</v>
      </c>
      <c r="I148" s="632">
        <f t="shared" si="20"/>
        <v>0</v>
      </c>
      <c r="J148" s="505">
        <f t="shared" si="15"/>
        <v>0</v>
      </c>
      <c r="K148" s="505"/>
      <c r="L148" s="513"/>
      <c r="M148" s="505">
        <f t="shared" si="21"/>
        <v>0</v>
      </c>
      <c r="N148" s="513"/>
      <c r="O148" s="505">
        <f t="shared" si="22"/>
        <v>0</v>
      </c>
      <c r="P148" s="505">
        <f t="shared" si="23"/>
        <v>0</v>
      </c>
      <c r="Q148" s="244"/>
      <c r="R148" s="244"/>
      <c r="S148" s="244"/>
      <c r="T148" s="244"/>
      <c r="U148" s="244"/>
    </row>
    <row r="149" spans="2:21" ht="12.5">
      <c r="B149" s="145" t="str">
        <f t="shared" si="14"/>
        <v/>
      </c>
      <c r="C149" s="496">
        <f>IF(D94="","-",+C148+1)</f>
        <v>2062</v>
      </c>
      <c r="D149" s="350">
        <f>IF(F148+SUM(E$100:E148)=D$93,F148,D$93-SUM(E$100:E148))</f>
        <v>0</v>
      </c>
      <c r="E149" s="630">
        <f t="shared" si="16"/>
        <v>0</v>
      </c>
      <c r="F149" s="511">
        <f t="shared" si="17"/>
        <v>0</v>
      </c>
      <c r="G149" s="511">
        <f t="shared" si="18"/>
        <v>0</v>
      </c>
      <c r="H149" s="631">
        <f t="shared" si="19"/>
        <v>0</v>
      </c>
      <c r="I149" s="632">
        <f t="shared" si="20"/>
        <v>0</v>
      </c>
      <c r="J149" s="505">
        <f t="shared" si="15"/>
        <v>0</v>
      </c>
      <c r="K149" s="505"/>
      <c r="L149" s="513"/>
      <c r="M149" s="505">
        <f t="shared" si="21"/>
        <v>0</v>
      </c>
      <c r="N149" s="513"/>
      <c r="O149" s="505">
        <f t="shared" si="22"/>
        <v>0</v>
      </c>
      <c r="P149" s="505">
        <f t="shared" si="23"/>
        <v>0</v>
      </c>
      <c r="Q149" s="244"/>
      <c r="R149" s="244"/>
      <c r="S149" s="244"/>
      <c r="T149" s="244"/>
      <c r="U149" s="244"/>
    </row>
    <row r="150" spans="2:21" ht="12.5">
      <c r="B150" s="145" t="str">
        <f t="shared" si="14"/>
        <v/>
      </c>
      <c r="C150" s="496">
        <f>IF(D94="","-",+C149+1)</f>
        <v>2063</v>
      </c>
      <c r="D150" s="350">
        <f>IF(F149+SUM(E$100:E149)=D$93,F149,D$93-SUM(E$100:E149))</f>
        <v>0</v>
      </c>
      <c r="E150" s="630">
        <f t="shared" si="16"/>
        <v>0</v>
      </c>
      <c r="F150" s="511">
        <f t="shared" si="17"/>
        <v>0</v>
      </c>
      <c r="G150" s="511">
        <f t="shared" si="18"/>
        <v>0</v>
      </c>
      <c r="H150" s="631">
        <f t="shared" si="19"/>
        <v>0</v>
      </c>
      <c r="I150" s="632">
        <f t="shared" si="20"/>
        <v>0</v>
      </c>
      <c r="J150" s="505">
        <f t="shared" si="15"/>
        <v>0</v>
      </c>
      <c r="K150" s="505"/>
      <c r="L150" s="513"/>
      <c r="M150" s="505">
        <f t="shared" si="21"/>
        <v>0</v>
      </c>
      <c r="N150" s="513"/>
      <c r="O150" s="505">
        <f t="shared" si="22"/>
        <v>0</v>
      </c>
      <c r="P150" s="505">
        <f t="shared" si="23"/>
        <v>0</v>
      </c>
      <c r="Q150" s="244"/>
      <c r="R150" s="244"/>
      <c r="S150" s="244"/>
      <c r="T150" s="244"/>
      <c r="U150" s="244"/>
    </row>
    <row r="151" spans="2:21" ht="12.5">
      <c r="B151" s="145" t="str">
        <f t="shared" si="14"/>
        <v/>
      </c>
      <c r="C151" s="496">
        <f>IF(D94="","-",+C150+1)</f>
        <v>2064</v>
      </c>
      <c r="D151" s="350">
        <f>IF(F150+SUM(E$100:E150)=D$93,F150,D$93-SUM(E$100:E150))</f>
        <v>0</v>
      </c>
      <c r="E151" s="630">
        <f t="shared" si="16"/>
        <v>0</v>
      </c>
      <c r="F151" s="511">
        <f t="shared" si="17"/>
        <v>0</v>
      </c>
      <c r="G151" s="511">
        <f t="shared" si="18"/>
        <v>0</v>
      </c>
      <c r="H151" s="631">
        <f t="shared" si="19"/>
        <v>0</v>
      </c>
      <c r="I151" s="632">
        <f t="shared" si="20"/>
        <v>0</v>
      </c>
      <c r="J151" s="505">
        <f t="shared" si="15"/>
        <v>0</v>
      </c>
      <c r="K151" s="505"/>
      <c r="L151" s="513"/>
      <c r="M151" s="505">
        <f t="shared" si="21"/>
        <v>0</v>
      </c>
      <c r="N151" s="513"/>
      <c r="O151" s="505">
        <f t="shared" si="22"/>
        <v>0</v>
      </c>
      <c r="P151" s="505">
        <f t="shared" si="23"/>
        <v>0</v>
      </c>
      <c r="Q151" s="244"/>
      <c r="R151" s="244"/>
      <c r="S151" s="244"/>
      <c r="T151" s="244"/>
      <c r="U151" s="244"/>
    </row>
    <row r="152" spans="2:21" ht="12.5">
      <c r="B152" s="145" t="str">
        <f t="shared" si="14"/>
        <v/>
      </c>
      <c r="C152" s="496">
        <f>IF(D94="","-",+C151+1)</f>
        <v>2065</v>
      </c>
      <c r="D152" s="350">
        <f>IF(F151+SUM(E$100:E151)=D$93,F151,D$93-SUM(E$100:E151))</f>
        <v>0</v>
      </c>
      <c r="E152" s="630">
        <f t="shared" si="16"/>
        <v>0</v>
      </c>
      <c r="F152" s="511">
        <f t="shared" si="17"/>
        <v>0</v>
      </c>
      <c r="G152" s="511">
        <f t="shared" si="18"/>
        <v>0</v>
      </c>
      <c r="H152" s="631">
        <f t="shared" si="19"/>
        <v>0</v>
      </c>
      <c r="I152" s="632">
        <f t="shared" si="20"/>
        <v>0</v>
      </c>
      <c r="J152" s="505">
        <f t="shared" si="15"/>
        <v>0</v>
      </c>
      <c r="K152" s="505"/>
      <c r="L152" s="513"/>
      <c r="M152" s="505">
        <f t="shared" si="21"/>
        <v>0</v>
      </c>
      <c r="N152" s="513"/>
      <c r="O152" s="505">
        <f t="shared" si="22"/>
        <v>0</v>
      </c>
      <c r="P152" s="505">
        <f t="shared" si="23"/>
        <v>0</v>
      </c>
      <c r="Q152" s="244"/>
      <c r="R152" s="244"/>
      <c r="S152" s="244"/>
      <c r="T152" s="244"/>
      <c r="U152" s="244"/>
    </row>
    <row r="153" spans="2:21" ht="12.5">
      <c r="B153" s="145" t="str">
        <f t="shared" si="14"/>
        <v/>
      </c>
      <c r="C153" s="496">
        <f>IF(D94="","-",+C152+1)</f>
        <v>2066</v>
      </c>
      <c r="D153" s="350">
        <f>IF(F152+SUM(E$100:E152)=D$93,F152,D$93-SUM(E$100:E152))</f>
        <v>0</v>
      </c>
      <c r="E153" s="630">
        <f t="shared" si="16"/>
        <v>0</v>
      </c>
      <c r="F153" s="511">
        <f t="shared" si="17"/>
        <v>0</v>
      </c>
      <c r="G153" s="511">
        <f t="shared" si="18"/>
        <v>0</v>
      </c>
      <c r="H153" s="631">
        <f t="shared" si="19"/>
        <v>0</v>
      </c>
      <c r="I153" s="632">
        <f t="shared" si="20"/>
        <v>0</v>
      </c>
      <c r="J153" s="505">
        <f t="shared" si="15"/>
        <v>0</v>
      </c>
      <c r="K153" s="505"/>
      <c r="L153" s="513"/>
      <c r="M153" s="505">
        <f t="shared" si="21"/>
        <v>0</v>
      </c>
      <c r="N153" s="513"/>
      <c r="O153" s="505">
        <f t="shared" si="22"/>
        <v>0</v>
      </c>
      <c r="P153" s="505">
        <f t="shared" si="23"/>
        <v>0</v>
      </c>
      <c r="Q153" s="244"/>
      <c r="R153" s="244"/>
      <c r="S153" s="244"/>
      <c r="T153" s="244"/>
      <c r="U153" s="244"/>
    </row>
    <row r="154" spans="2:21" ht="12.5">
      <c r="B154" s="145" t="str">
        <f t="shared" si="14"/>
        <v/>
      </c>
      <c r="C154" s="496">
        <f>IF(D94="","-",+C153+1)</f>
        <v>2067</v>
      </c>
      <c r="D154" s="350">
        <f>IF(F153+SUM(E$100:E153)=D$93,F153,D$93-SUM(E$100:E153))</f>
        <v>0</v>
      </c>
      <c r="E154" s="630">
        <f t="shared" si="16"/>
        <v>0</v>
      </c>
      <c r="F154" s="511">
        <f t="shared" si="17"/>
        <v>0</v>
      </c>
      <c r="G154" s="511">
        <f t="shared" si="18"/>
        <v>0</v>
      </c>
      <c r="H154" s="631">
        <f t="shared" si="19"/>
        <v>0</v>
      </c>
      <c r="I154" s="632">
        <f t="shared" si="20"/>
        <v>0</v>
      </c>
      <c r="J154" s="505">
        <f t="shared" si="15"/>
        <v>0</v>
      </c>
      <c r="K154" s="505"/>
      <c r="L154" s="513"/>
      <c r="M154" s="505">
        <f t="shared" si="21"/>
        <v>0</v>
      </c>
      <c r="N154" s="513"/>
      <c r="O154" s="505">
        <f t="shared" si="22"/>
        <v>0</v>
      </c>
      <c r="P154" s="505">
        <f t="shared" si="23"/>
        <v>0</v>
      </c>
      <c r="Q154" s="244"/>
      <c r="R154" s="244"/>
      <c r="S154" s="244"/>
      <c r="T154" s="244"/>
      <c r="U154" s="244"/>
    </row>
    <row r="155" spans="2:21" ht="13" thickBot="1">
      <c r="B155" s="145" t="str">
        <f t="shared" si="14"/>
        <v/>
      </c>
      <c r="C155" s="525">
        <f>IF(D94="","-",+C154+1)</f>
        <v>2068</v>
      </c>
      <c r="D155" s="619">
        <f>IF(F154+SUM(E$100:E154)=D$93,F154,D$93-SUM(E$100:E154))</f>
        <v>0</v>
      </c>
      <c r="E155" s="633">
        <f t="shared" si="16"/>
        <v>0</v>
      </c>
      <c r="F155" s="528">
        <f t="shared" si="17"/>
        <v>0</v>
      </c>
      <c r="G155" s="528">
        <f t="shared" si="18"/>
        <v>0</v>
      </c>
      <c r="H155" s="634">
        <f t="shared" si="19"/>
        <v>0</v>
      </c>
      <c r="I155" s="635">
        <f t="shared" si="20"/>
        <v>0</v>
      </c>
      <c r="J155" s="532">
        <f t="shared" si="15"/>
        <v>0</v>
      </c>
      <c r="K155" s="505"/>
      <c r="L155" s="531"/>
      <c r="M155" s="532">
        <f t="shared" si="21"/>
        <v>0</v>
      </c>
      <c r="N155" s="531"/>
      <c r="O155" s="532">
        <f t="shared" si="22"/>
        <v>0</v>
      </c>
      <c r="P155" s="532">
        <f t="shared" si="23"/>
        <v>0</v>
      </c>
      <c r="Q155" s="244"/>
      <c r="R155" s="244"/>
      <c r="S155" s="244"/>
      <c r="T155" s="244"/>
      <c r="U155" s="244"/>
    </row>
    <row r="156" spans="2:21" ht="12.5">
      <c r="C156" s="350" t="s">
        <v>75</v>
      </c>
      <c r="D156" s="295"/>
      <c r="E156" s="295">
        <f>SUM(E100:E155)</f>
        <v>4817114</v>
      </c>
      <c r="F156" s="295"/>
      <c r="G156" s="295"/>
      <c r="H156" s="295">
        <f>SUM(H100:H155)</f>
        <v>13880421.273930985</v>
      </c>
      <c r="I156" s="295">
        <f>SUM(I100:I155)</f>
        <v>13880421.273930985</v>
      </c>
      <c r="J156" s="295">
        <f>SUM(J100:J155)</f>
        <v>0</v>
      </c>
      <c r="K156" s="295"/>
      <c r="L156" s="295"/>
      <c r="M156" s="295"/>
      <c r="N156" s="295"/>
      <c r="O156" s="295"/>
      <c r="P156" s="244"/>
      <c r="Q156" s="244"/>
      <c r="R156" s="244"/>
      <c r="S156" s="244"/>
      <c r="T156" s="244"/>
      <c r="U156" s="244"/>
    </row>
    <row r="157" spans="2:21" ht="12.5">
      <c r="C157" s="145" t="s">
        <v>90</v>
      </c>
      <c r="D157" s="293"/>
      <c r="E157" s="244"/>
      <c r="F157" s="244"/>
      <c r="G157" s="244"/>
      <c r="H157" s="244"/>
      <c r="I157" s="326"/>
      <c r="J157" s="326"/>
      <c r="K157" s="295"/>
      <c r="L157" s="326"/>
      <c r="M157" s="326"/>
      <c r="N157" s="326"/>
      <c r="O157" s="326"/>
      <c r="P157" s="244"/>
      <c r="Q157" s="244"/>
      <c r="R157" s="244"/>
      <c r="S157" s="244"/>
      <c r="T157" s="244"/>
      <c r="U157" s="244"/>
    </row>
    <row r="158" spans="2:21" ht="12.5">
      <c r="C158" s="575"/>
      <c r="D158" s="293"/>
      <c r="E158" s="244"/>
      <c r="F158" s="244"/>
      <c r="G158" s="244"/>
      <c r="H158" s="244"/>
      <c r="I158" s="326"/>
      <c r="J158" s="326"/>
      <c r="K158" s="295"/>
      <c r="L158" s="326"/>
      <c r="M158" s="326"/>
      <c r="N158" s="326"/>
      <c r="O158" s="326"/>
      <c r="P158" s="244"/>
      <c r="Q158" s="244"/>
      <c r="R158" s="244"/>
      <c r="S158" s="244"/>
      <c r="T158" s="244"/>
      <c r="U158" s="244"/>
    </row>
    <row r="159" spans="2:21" ht="13">
      <c r="C159" s="620" t="s">
        <v>130</v>
      </c>
      <c r="D159" s="293"/>
      <c r="E159" s="244"/>
      <c r="F159" s="244"/>
      <c r="G159" s="244"/>
      <c r="H159" s="244"/>
      <c r="I159" s="326"/>
      <c r="J159" s="326"/>
      <c r="K159" s="295"/>
      <c r="L159" s="326"/>
      <c r="M159" s="326"/>
      <c r="N159" s="326"/>
      <c r="O159" s="326"/>
      <c r="P159" s="244"/>
      <c r="Q159" s="244"/>
      <c r="R159" s="244"/>
      <c r="S159" s="244"/>
      <c r="T159" s="244"/>
      <c r="U159" s="244"/>
    </row>
    <row r="160" spans="2:21" ht="13">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ht="13">
      <c r="C162" s="576"/>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23" priority="1" stopIfTrue="1" operator="equal">
      <formula>$I$10</formula>
    </cfRule>
  </conditionalFormatting>
  <conditionalFormatting sqref="C100:C155">
    <cfRule type="cellIs" dxfId="22"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U163"/>
  <sheetViews>
    <sheetView view="pageBreakPreview" zoomScale="78" zoomScaleNormal="100" zoomScaleSheetLayoutView="78" workbookViewId="0">
      <selection activeCell="D10" sqref="D10"/>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"&amp;RIGHT(MID(CELL("filename",$A$1),FIND("]",CELL("filename",$A$1))+1,256),2)&amp;" of "&amp;COUNT('OKT.001:OKT.xyz - blank'!$P$3)-1</f>
        <v>OKT Project 14 of 19</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8806008.9305919912</v>
      </c>
      <c r="P5" s="244"/>
      <c r="R5" s="244"/>
      <c r="S5" s="244"/>
      <c r="T5" s="244"/>
      <c r="U5" s="244"/>
    </row>
    <row r="6" spans="1:21" ht="15.5">
      <c r="C6" s="236"/>
      <c r="D6" s="293"/>
      <c r="E6" s="244"/>
      <c r="F6" s="244"/>
      <c r="G6" s="244"/>
      <c r="H6" s="450"/>
      <c r="I6" s="450"/>
      <c r="J6" s="451"/>
      <c r="K6" s="452" t="s">
        <v>243</v>
      </c>
      <c r="L6" s="453"/>
      <c r="M6" s="279"/>
      <c r="N6" s="454">
        <f>VLOOKUP(I10,C17:I73,6)</f>
        <v>8806008.9305919912</v>
      </c>
      <c r="O6" s="244"/>
      <c r="P6" s="244"/>
      <c r="R6" s="244"/>
      <c r="S6" s="244"/>
      <c r="T6" s="244"/>
      <c r="U6" s="244"/>
    </row>
    <row r="7" spans="1:21" ht="13.5" thickBot="1">
      <c r="C7" s="455" t="s">
        <v>46</v>
      </c>
      <c r="D7" s="638" t="s">
        <v>234</v>
      </c>
      <c r="E7" s="638"/>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C9" s="464" t="s">
        <v>48</v>
      </c>
      <c r="D9" s="465" t="s">
        <v>235</v>
      </c>
      <c r="E9" s="466"/>
      <c r="F9" s="466"/>
      <c r="G9" s="466"/>
      <c r="H9" s="466"/>
      <c r="I9" s="467"/>
      <c r="J9" s="468"/>
      <c r="O9" s="469"/>
      <c r="P9" s="279"/>
      <c r="R9" s="244"/>
      <c r="S9" s="244"/>
      <c r="T9" s="244"/>
      <c r="U9" s="244"/>
    </row>
    <row r="10" spans="1:21" ht="13">
      <c r="C10" s="470" t="s">
        <v>49</v>
      </c>
      <c r="D10" s="471">
        <v>68247469</v>
      </c>
      <c r="E10" s="300" t="s">
        <v>50</v>
      </c>
      <c r="F10" s="469"/>
      <c r="G10" s="409"/>
      <c r="H10" s="409"/>
      <c r="I10" s="472">
        <f>+OKT.WS.F.BPU.ATRR.Projected!R100</f>
        <v>2019</v>
      </c>
      <c r="J10" s="468"/>
      <c r="K10" s="295" t="s">
        <v>51</v>
      </c>
      <c r="O10" s="279"/>
      <c r="P10" s="279"/>
      <c r="R10" s="244"/>
      <c r="S10" s="244"/>
      <c r="T10" s="244"/>
      <c r="U10" s="244"/>
    </row>
    <row r="11" spans="1:21" ht="12.5">
      <c r="C11" s="473" t="s">
        <v>52</v>
      </c>
      <c r="D11" s="474">
        <v>2016</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12</v>
      </c>
      <c r="E12" s="473" t="s">
        <v>55</v>
      </c>
      <c r="F12" s="409"/>
      <c r="G12" s="221"/>
      <c r="H12" s="221"/>
      <c r="I12" s="477">
        <f>OKT.WS.F.BPU.ATRR.Projected!$F$78</f>
        <v>0.11749102697326873</v>
      </c>
      <c r="J12" s="414"/>
      <c r="K12" s="145" t="s">
        <v>56</v>
      </c>
      <c r="O12" s="279"/>
      <c r="P12" s="279"/>
      <c r="R12" s="244"/>
      <c r="S12" s="244"/>
      <c r="T12" s="244"/>
      <c r="U12" s="244"/>
    </row>
    <row r="13" spans="1:21" ht="12.5">
      <c r="C13" s="473" t="s">
        <v>57</v>
      </c>
      <c r="D13" s="475">
        <f>+OKT.WS.F.BPU.ATRR.Projected!F$89</f>
        <v>41</v>
      </c>
      <c r="E13" s="473" t="s">
        <v>58</v>
      </c>
      <c r="F13" s="409"/>
      <c r="G13" s="221"/>
      <c r="H13" s="221"/>
      <c r="I13" s="477">
        <f>IF(G5="",I12,OKT.WS.F.BPU.ATRR.Projected!$F$77)</f>
        <v>0.11749102697326873</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1664572.4146341463</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c r="R16" s="244"/>
      <c r="S16" s="244"/>
      <c r="T16" s="244"/>
      <c r="U16" s="244"/>
    </row>
    <row r="17" spans="3:21" ht="12.5">
      <c r="C17" s="496">
        <f>IF(D11= "","-",D11)</f>
        <v>2016</v>
      </c>
      <c r="D17" s="613">
        <v>3408237</v>
      </c>
      <c r="E17" s="621">
        <v>41312.427614067317</v>
      </c>
      <c r="F17" s="613">
        <v>3366924.5723859328</v>
      </c>
      <c r="G17" s="621">
        <v>283462.47353390156</v>
      </c>
      <c r="H17" s="618">
        <v>283462.47353390156</v>
      </c>
      <c r="I17" s="501">
        <f t="shared" ref="I17:I73" si="0">H17-G17</f>
        <v>0</v>
      </c>
      <c r="J17" s="501"/>
      <c r="K17" s="502">
        <f>G17</f>
        <v>283462.47353390156</v>
      </c>
      <c r="L17" s="503">
        <f>IF(K17&lt;&gt;0,+G17-K17,0)</f>
        <v>0</v>
      </c>
      <c r="M17" s="502">
        <f>H17</f>
        <v>283462.47353390156</v>
      </c>
      <c r="N17" s="504">
        <f t="shared" ref="N17:N73" si="1">IF(M17&lt;&gt;0,+H17-M17,0)</f>
        <v>0</v>
      </c>
      <c r="O17" s="505">
        <f t="shared" ref="O17:O73" si="2">+N17-L17</f>
        <v>0</v>
      </c>
      <c r="P17" s="279"/>
      <c r="R17" s="244"/>
      <c r="S17" s="244"/>
      <c r="T17" s="244"/>
      <c r="U17" s="244"/>
    </row>
    <row r="18" spans="3:21" ht="12.5">
      <c r="C18" s="496">
        <f>IF(D11="","-",+C17+1)</f>
        <v>2017</v>
      </c>
      <c r="D18" s="615">
        <v>69080283.572385937</v>
      </c>
      <c r="E18" s="614">
        <v>1359067.4231693465</v>
      </c>
      <c r="F18" s="615">
        <v>67721216.149216592</v>
      </c>
      <c r="G18" s="614">
        <v>8879043.9719662741</v>
      </c>
      <c r="H18" s="618">
        <v>8879043.9719662741</v>
      </c>
      <c r="I18" s="501">
        <f t="shared" si="0"/>
        <v>0</v>
      </c>
      <c r="J18" s="501"/>
      <c r="K18" s="593">
        <f>G18</f>
        <v>8879043.9719662741</v>
      </c>
      <c r="L18" s="597">
        <f>IF(K18&lt;&gt;0,+G18-K18,0)</f>
        <v>0</v>
      </c>
      <c r="M18" s="593">
        <f>H18</f>
        <v>8879043.9719662741</v>
      </c>
      <c r="N18" s="505">
        <f>IF(M18&lt;&gt;0,+H18-M18,0)</f>
        <v>0</v>
      </c>
      <c r="O18" s="505">
        <f>+N18-L18</f>
        <v>0</v>
      </c>
      <c r="P18" s="279"/>
      <c r="R18" s="244"/>
      <c r="S18" s="244"/>
      <c r="T18" s="244"/>
      <c r="U18" s="244"/>
    </row>
    <row r="19" spans="3:21" ht="12.5">
      <c r="C19" s="496">
        <f>IF(D11="","-",+C18+1)</f>
        <v>2018</v>
      </c>
      <c r="D19" s="615">
        <v>67721216.149216592</v>
      </c>
      <c r="E19" s="614">
        <v>1695178.2446698518</v>
      </c>
      <c r="F19" s="615">
        <v>66026037.904546738</v>
      </c>
      <c r="G19" s="614">
        <v>8491120.286725603</v>
      </c>
      <c r="H19" s="618">
        <v>8491120.286725603</v>
      </c>
      <c r="I19" s="501">
        <f t="shared" si="0"/>
        <v>0</v>
      </c>
      <c r="J19" s="501"/>
      <c r="K19" s="593">
        <f>G19</f>
        <v>8491120.286725603</v>
      </c>
      <c r="L19" s="597">
        <f>IF(K19&lt;&gt;0,+G19-K19,0)</f>
        <v>0</v>
      </c>
      <c r="M19" s="593">
        <f>H19</f>
        <v>8491120.286725603</v>
      </c>
      <c r="N19" s="505">
        <f>IF(M19&lt;&gt;0,+H19-M19,0)</f>
        <v>0</v>
      </c>
      <c r="O19" s="505">
        <f>+N19-L19</f>
        <v>0</v>
      </c>
      <c r="P19" s="279"/>
      <c r="R19" s="244"/>
      <c r="S19" s="244"/>
      <c r="T19" s="244"/>
      <c r="U19" s="244"/>
    </row>
    <row r="20" spans="3:21" ht="12.5">
      <c r="C20" s="496">
        <f>IF(D11="","-",+C19+1)</f>
        <v>2019</v>
      </c>
      <c r="D20" s="615">
        <v>66026037.904546738</v>
      </c>
      <c r="E20" s="614">
        <v>2050066.834779863</v>
      </c>
      <c r="F20" s="615">
        <v>63975971.069766872</v>
      </c>
      <c r="G20" s="614">
        <v>8806008.9305919912</v>
      </c>
      <c r="H20" s="618">
        <v>8806008.9305919912</v>
      </c>
      <c r="I20" s="501">
        <f t="shared" si="0"/>
        <v>0</v>
      </c>
      <c r="J20" s="501"/>
      <c r="K20" s="593">
        <f>G20</f>
        <v>8806008.9305919912</v>
      </c>
      <c r="L20" s="597">
        <f>IF(K20&lt;&gt;0,+G20-K20,0)</f>
        <v>0</v>
      </c>
      <c r="M20" s="593">
        <f>H20</f>
        <v>8806008.9305919912</v>
      </c>
      <c r="N20" s="505">
        <f>IF(M20&lt;&gt;0,+H20-M20,0)</f>
        <v>0</v>
      </c>
      <c r="O20" s="505">
        <f>+N20-L20</f>
        <v>0</v>
      </c>
      <c r="P20" s="279"/>
      <c r="R20" s="244"/>
      <c r="S20" s="244"/>
      <c r="T20" s="244"/>
      <c r="U20" s="244"/>
    </row>
    <row r="21" spans="3:21" ht="12.5">
      <c r="C21" s="496">
        <f>IF(D11="","-",+C20+1)</f>
        <v>2020</v>
      </c>
      <c r="D21" s="511">
        <f>IF(F20+SUM(E$17:E20)=D$10,F20,D$10-SUM(E$17:E20))</f>
        <v>63101844.069766872</v>
      </c>
      <c r="E21" s="510">
        <f>IF(+I14&lt;F20,I14,D21)</f>
        <v>1664572.4146341463</v>
      </c>
      <c r="F21" s="511">
        <f t="shared" ref="F21:F73" si="3">+D21-E21</f>
        <v>61437271.655132726</v>
      </c>
      <c r="G21" s="512">
        <f t="shared" ref="G21:G73" si="4">(D21+F21)/2*I$12+E21</f>
        <v>8980686.7170647532</v>
      </c>
      <c r="H21" s="478">
        <f t="shared" ref="H21:H73" si="5">+(D21+F21)/2*I$13+E21</f>
        <v>8980686.7170647532</v>
      </c>
      <c r="I21" s="501">
        <f t="shared" si="0"/>
        <v>0</v>
      </c>
      <c r="J21" s="501"/>
      <c r="K21" s="513"/>
      <c r="L21" s="505">
        <f t="shared" ref="L21:L73" si="6">IF(K21&lt;&gt;0,+G21-K21,0)</f>
        <v>0</v>
      </c>
      <c r="M21" s="513"/>
      <c r="N21" s="505">
        <f t="shared" si="1"/>
        <v>0</v>
      </c>
      <c r="O21" s="505">
        <f t="shared" si="2"/>
        <v>0</v>
      </c>
      <c r="P21" s="279"/>
      <c r="R21" s="244"/>
      <c r="S21" s="244"/>
      <c r="T21" s="244"/>
      <c r="U21" s="244"/>
    </row>
    <row r="22" spans="3:21" ht="12.5">
      <c r="C22" s="496">
        <f>IF(D11="","-",+C21+1)</f>
        <v>2021</v>
      </c>
      <c r="D22" s="511">
        <f>IF(F21+SUM(E$17:E21)=D$10,F21,D$10-SUM(E$17:E21))</f>
        <v>61437271.655132726</v>
      </c>
      <c r="E22" s="510">
        <f>IF(+I14&lt;F21,I14,D22)</f>
        <v>1664572.4146341463</v>
      </c>
      <c r="F22" s="511">
        <f t="shared" si="3"/>
        <v>59772699.24049858</v>
      </c>
      <c r="G22" s="512">
        <f t="shared" si="4"/>
        <v>8785114.3945980147</v>
      </c>
      <c r="H22" s="478">
        <f t="shared" si="5"/>
        <v>8785114.3945980147</v>
      </c>
      <c r="I22" s="501">
        <f t="shared" si="0"/>
        <v>0</v>
      </c>
      <c r="J22" s="501"/>
      <c r="K22" s="513"/>
      <c r="L22" s="505">
        <f t="shared" si="6"/>
        <v>0</v>
      </c>
      <c r="M22" s="513"/>
      <c r="N22" s="505">
        <f t="shared" si="1"/>
        <v>0</v>
      </c>
      <c r="O22" s="505">
        <f t="shared" si="2"/>
        <v>0</v>
      </c>
      <c r="P22" s="279"/>
      <c r="R22" s="244"/>
      <c r="S22" s="244"/>
      <c r="T22" s="244"/>
      <c r="U22" s="244"/>
    </row>
    <row r="23" spans="3:21" ht="12.5">
      <c r="C23" s="496">
        <f>IF(D11="","-",+C22+1)</f>
        <v>2022</v>
      </c>
      <c r="D23" s="511">
        <f>IF(F22+SUM(E$17:E22)=D$10,F22,D$10-SUM(E$17:E22))</f>
        <v>59772699.24049858</v>
      </c>
      <c r="E23" s="510">
        <f>IF(+I14&lt;F22,I14,D23)</f>
        <v>1664572.4146341463</v>
      </c>
      <c r="F23" s="511">
        <f t="shared" si="3"/>
        <v>58108126.825864434</v>
      </c>
      <c r="G23" s="512">
        <f t="shared" si="4"/>
        <v>8589542.0721312743</v>
      </c>
      <c r="H23" s="478">
        <f t="shared" si="5"/>
        <v>8589542.0721312743</v>
      </c>
      <c r="I23" s="501">
        <f t="shared" si="0"/>
        <v>0</v>
      </c>
      <c r="J23" s="501"/>
      <c r="K23" s="513"/>
      <c r="L23" s="505">
        <f t="shared" si="6"/>
        <v>0</v>
      </c>
      <c r="M23" s="513"/>
      <c r="N23" s="505">
        <f t="shared" si="1"/>
        <v>0</v>
      </c>
      <c r="O23" s="505">
        <f t="shared" si="2"/>
        <v>0</v>
      </c>
      <c r="P23" s="279"/>
      <c r="R23" s="244"/>
      <c r="S23" s="244"/>
      <c r="T23" s="244"/>
      <c r="U23" s="244"/>
    </row>
    <row r="24" spans="3:21" ht="12.5">
      <c r="C24" s="496">
        <f>IF(D11="","-",+C23+1)</f>
        <v>2023</v>
      </c>
      <c r="D24" s="511">
        <f>IF(F23+SUM(E$17:E23)=D$10,F23,D$10-SUM(E$17:E23))</f>
        <v>58108126.825864434</v>
      </c>
      <c r="E24" s="510">
        <f>IF(+I14&lt;F23,I14,D24)</f>
        <v>1664572.4146341463</v>
      </c>
      <c r="F24" s="511">
        <f t="shared" si="3"/>
        <v>56443554.411230288</v>
      </c>
      <c r="G24" s="512">
        <f t="shared" si="4"/>
        <v>8393969.7496645357</v>
      </c>
      <c r="H24" s="478">
        <f t="shared" si="5"/>
        <v>8393969.7496645357</v>
      </c>
      <c r="I24" s="501">
        <f t="shared" si="0"/>
        <v>0</v>
      </c>
      <c r="J24" s="501"/>
      <c r="K24" s="513"/>
      <c r="L24" s="505">
        <f t="shared" si="6"/>
        <v>0</v>
      </c>
      <c r="M24" s="513"/>
      <c r="N24" s="505">
        <f t="shared" si="1"/>
        <v>0</v>
      </c>
      <c r="O24" s="505">
        <f t="shared" si="2"/>
        <v>0</v>
      </c>
      <c r="P24" s="279"/>
      <c r="R24" s="244"/>
      <c r="S24" s="244"/>
      <c r="T24" s="244"/>
      <c r="U24" s="244"/>
    </row>
    <row r="25" spans="3:21" ht="12.5">
      <c r="C25" s="496">
        <f>IF(D11="","-",+C24+1)</f>
        <v>2024</v>
      </c>
      <c r="D25" s="511">
        <f>IF(F24+SUM(E$17:E24)=D$10,F24,D$10-SUM(E$17:E24))</f>
        <v>56443554.411230288</v>
      </c>
      <c r="E25" s="510">
        <f>IF(+I14&lt;F24,I14,D25)</f>
        <v>1664572.4146341463</v>
      </c>
      <c r="F25" s="511">
        <f t="shared" si="3"/>
        <v>54778981.996596143</v>
      </c>
      <c r="G25" s="512">
        <f t="shared" si="4"/>
        <v>8198397.4271977954</v>
      </c>
      <c r="H25" s="478">
        <f t="shared" si="5"/>
        <v>8198397.4271977954</v>
      </c>
      <c r="I25" s="501">
        <f t="shared" si="0"/>
        <v>0</v>
      </c>
      <c r="J25" s="501"/>
      <c r="K25" s="513"/>
      <c r="L25" s="505">
        <f t="shared" si="6"/>
        <v>0</v>
      </c>
      <c r="M25" s="513"/>
      <c r="N25" s="505">
        <f t="shared" si="1"/>
        <v>0</v>
      </c>
      <c r="O25" s="505">
        <f t="shared" si="2"/>
        <v>0</v>
      </c>
      <c r="P25" s="279"/>
      <c r="R25" s="244"/>
      <c r="S25" s="244"/>
      <c r="T25" s="244"/>
      <c r="U25" s="244"/>
    </row>
    <row r="26" spans="3:21" ht="12.5">
      <c r="C26" s="496">
        <f>IF(D11="","-",+C25+1)</f>
        <v>2025</v>
      </c>
      <c r="D26" s="511">
        <f>IF(F25+SUM(E$17:E25)=D$10,F25,D$10-SUM(E$17:E25))</f>
        <v>54778981.996596143</v>
      </c>
      <c r="E26" s="510">
        <f>IF(+I14&lt;F25,I14,D26)</f>
        <v>1664572.4146341463</v>
      </c>
      <c r="F26" s="511">
        <f t="shared" si="3"/>
        <v>53114409.581961997</v>
      </c>
      <c r="G26" s="512">
        <f t="shared" si="4"/>
        <v>8002825.1047310568</v>
      </c>
      <c r="H26" s="478">
        <f t="shared" si="5"/>
        <v>8002825.1047310568</v>
      </c>
      <c r="I26" s="501">
        <f t="shared" si="0"/>
        <v>0</v>
      </c>
      <c r="J26" s="501"/>
      <c r="K26" s="513"/>
      <c r="L26" s="505">
        <f t="shared" si="6"/>
        <v>0</v>
      </c>
      <c r="M26" s="513"/>
      <c r="N26" s="505">
        <f t="shared" si="1"/>
        <v>0</v>
      </c>
      <c r="O26" s="505">
        <f t="shared" si="2"/>
        <v>0</v>
      </c>
      <c r="P26" s="279"/>
      <c r="R26" s="244"/>
      <c r="S26" s="244"/>
      <c r="T26" s="244"/>
      <c r="U26" s="244"/>
    </row>
    <row r="27" spans="3:21" ht="12.5">
      <c r="C27" s="496">
        <f>IF(D11="","-",+C26+1)</f>
        <v>2026</v>
      </c>
      <c r="D27" s="509">
        <f>IF(F26+SUM(E$17:E26)=D$10,F26,D$10-SUM(E$17:E26))</f>
        <v>53114409.581961997</v>
      </c>
      <c r="E27" s="510">
        <f>IF(+I14&lt;F26,I14,D27)</f>
        <v>1664572.4146341463</v>
      </c>
      <c r="F27" s="511">
        <f t="shared" si="3"/>
        <v>51449837.167327851</v>
      </c>
      <c r="G27" s="512">
        <f t="shared" si="4"/>
        <v>7807252.7822643165</v>
      </c>
      <c r="H27" s="478">
        <f t="shared" si="5"/>
        <v>7807252.7822643165</v>
      </c>
      <c r="I27" s="501">
        <f t="shared" si="0"/>
        <v>0</v>
      </c>
      <c r="J27" s="501"/>
      <c r="K27" s="513"/>
      <c r="L27" s="505">
        <f t="shared" si="6"/>
        <v>0</v>
      </c>
      <c r="M27" s="513"/>
      <c r="N27" s="505">
        <f t="shared" si="1"/>
        <v>0</v>
      </c>
      <c r="O27" s="505">
        <f t="shared" si="2"/>
        <v>0</v>
      </c>
      <c r="P27" s="279"/>
      <c r="R27" s="244"/>
      <c r="S27" s="244"/>
      <c r="T27" s="244"/>
      <c r="U27" s="244"/>
    </row>
    <row r="28" spans="3:21" ht="12.5">
      <c r="C28" s="496">
        <f>IF(D11="","-",+C27+1)</f>
        <v>2027</v>
      </c>
      <c r="D28" s="511">
        <f>IF(F27+SUM(E$17:E27)=D$10,F27,D$10-SUM(E$17:E27))</f>
        <v>51449837.167327851</v>
      </c>
      <c r="E28" s="510">
        <f>IF(+I14&lt;F27,I14,D28)</f>
        <v>1664572.4146341463</v>
      </c>
      <c r="F28" s="511">
        <f t="shared" si="3"/>
        <v>49785264.752693705</v>
      </c>
      <c r="G28" s="512">
        <f t="shared" si="4"/>
        <v>7611680.4597975779</v>
      </c>
      <c r="H28" s="478">
        <f t="shared" si="5"/>
        <v>7611680.4597975779</v>
      </c>
      <c r="I28" s="501">
        <f t="shared" si="0"/>
        <v>0</v>
      </c>
      <c r="J28" s="501"/>
      <c r="K28" s="513"/>
      <c r="L28" s="505">
        <f t="shared" si="6"/>
        <v>0</v>
      </c>
      <c r="M28" s="513"/>
      <c r="N28" s="505">
        <f t="shared" si="1"/>
        <v>0</v>
      </c>
      <c r="O28" s="505">
        <f t="shared" si="2"/>
        <v>0</v>
      </c>
      <c r="P28" s="279"/>
      <c r="R28" s="244"/>
      <c r="S28" s="244"/>
      <c r="T28" s="244"/>
      <c r="U28" s="244"/>
    </row>
    <row r="29" spans="3:21" ht="12.5">
      <c r="C29" s="496">
        <f>IF(D11="","-",+C28+1)</f>
        <v>2028</v>
      </c>
      <c r="D29" s="511">
        <f>IF(F28+SUM(E$17:E28)=D$10,F28,D$10-SUM(E$17:E28))</f>
        <v>49785264.752693705</v>
      </c>
      <c r="E29" s="510">
        <f>IF(+I14&lt;F28,I14,D29)</f>
        <v>1664572.4146341463</v>
      </c>
      <c r="F29" s="511">
        <f t="shared" si="3"/>
        <v>48120692.338059559</v>
      </c>
      <c r="G29" s="512">
        <f t="shared" si="4"/>
        <v>7416108.1373308375</v>
      </c>
      <c r="H29" s="478">
        <f t="shared" si="5"/>
        <v>7416108.1373308375</v>
      </c>
      <c r="I29" s="501">
        <f t="shared" si="0"/>
        <v>0</v>
      </c>
      <c r="J29" s="501"/>
      <c r="K29" s="513"/>
      <c r="L29" s="505">
        <f t="shared" si="6"/>
        <v>0</v>
      </c>
      <c r="M29" s="513"/>
      <c r="N29" s="505">
        <f t="shared" si="1"/>
        <v>0</v>
      </c>
      <c r="O29" s="505">
        <f t="shared" si="2"/>
        <v>0</v>
      </c>
      <c r="P29" s="279"/>
      <c r="R29" s="244"/>
      <c r="S29" s="244"/>
      <c r="T29" s="244"/>
      <c r="U29" s="244"/>
    </row>
    <row r="30" spans="3:21" ht="12.5">
      <c r="C30" s="496">
        <f>IF(D11="","-",+C29+1)</f>
        <v>2029</v>
      </c>
      <c r="D30" s="511">
        <f>IF(F29+SUM(E$17:E29)=D$10,F29,D$10-SUM(E$17:E29))</f>
        <v>48120692.338059559</v>
      </c>
      <c r="E30" s="510">
        <f>IF(+I14&lt;F29,I14,D30)</f>
        <v>1664572.4146341463</v>
      </c>
      <c r="F30" s="511">
        <f t="shared" si="3"/>
        <v>46456119.923425414</v>
      </c>
      <c r="G30" s="512">
        <f t="shared" si="4"/>
        <v>7220535.814864099</v>
      </c>
      <c r="H30" s="478">
        <f t="shared" si="5"/>
        <v>7220535.814864099</v>
      </c>
      <c r="I30" s="501">
        <f t="shared" si="0"/>
        <v>0</v>
      </c>
      <c r="J30" s="501"/>
      <c r="K30" s="513"/>
      <c r="L30" s="505">
        <f t="shared" si="6"/>
        <v>0</v>
      </c>
      <c r="M30" s="513"/>
      <c r="N30" s="505">
        <f t="shared" si="1"/>
        <v>0</v>
      </c>
      <c r="O30" s="505">
        <f t="shared" si="2"/>
        <v>0</v>
      </c>
      <c r="P30" s="279"/>
      <c r="R30" s="244"/>
      <c r="S30" s="244"/>
      <c r="T30" s="244"/>
      <c r="U30" s="244"/>
    </row>
    <row r="31" spans="3:21" ht="12.5">
      <c r="C31" s="496">
        <f>IF(D11="","-",+C30+1)</f>
        <v>2030</v>
      </c>
      <c r="D31" s="511">
        <f>IF(F30+SUM(E$17:E30)=D$10,F30,D$10-SUM(E$17:E30))</f>
        <v>46456119.923425414</v>
      </c>
      <c r="E31" s="510">
        <f>IF(+I14&lt;F30,I14,D31)</f>
        <v>1664572.4146341463</v>
      </c>
      <c r="F31" s="511">
        <f t="shared" si="3"/>
        <v>44791547.508791268</v>
      </c>
      <c r="G31" s="512">
        <f t="shared" si="4"/>
        <v>7024963.4923973586</v>
      </c>
      <c r="H31" s="478">
        <f t="shared" si="5"/>
        <v>7024963.4923973586</v>
      </c>
      <c r="I31" s="501">
        <f t="shared" si="0"/>
        <v>0</v>
      </c>
      <c r="J31" s="501"/>
      <c r="K31" s="513"/>
      <c r="L31" s="505">
        <f t="shared" si="6"/>
        <v>0</v>
      </c>
      <c r="M31" s="513"/>
      <c r="N31" s="505">
        <f t="shared" si="1"/>
        <v>0</v>
      </c>
      <c r="O31" s="505">
        <f t="shared" si="2"/>
        <v>0</v>
      </c>
      <c r="P31" s="279"/>
      <c r="Q31" s="221"/>
      <c r="R31" s="279"/>
      <c r="S31" s="279"/>
      <c r="T31" s="279"/>
      <c r="U31" s="244"/>
    </row>
    <row r="32" spans="3:21" ht="12.5">
      <c r="C32" s="496">
        <f>IF(D12="","-",+C31+1)</f>
        <v>2031</v>
      </c>
      <c r="D32" s="511">
        <f>IF(F31+SUM(E$17:E31)=D$10,F31,D$10-SUM(E$17:E31))</f>
        <v>44791547.508791268</v>
      </c>
      <c r="E32" s="510">
        <f>IF(+I14&lt;F31,I14,D32)</f>
        <v>1664572.4146341463</v>
      </c>
      <c r="F32" s="511">
        <f>+D32-E32</f>
        <v>43126975.094157122</v>
      </c>
      <c r="G32" s="512">
        <f t="shared" si="4"/>
        <v>6829391.1699306201</v>
      </c>
      <c r="H32" s="478">
        <f t="shared" si="5"/>
        <v>6829391.1699306201</v>
      </c>
      <c r="I32" s="501">
        <f>H32-G32</f>
        <v>0</v>
      </c>
      <c r="J32" s="501"/>
      <c r="K32" s="513"/>
      <c r="L32" s="505">
        <f>IF(K32&lt;&gt;0,+G32-K32,0)</f>
        <v>0</v>
      </c>
      <c r="M32" s="513"/>
      <c r="N32" s="505">
        <f>IF(M32&lt;&gt;0,+H32-M32,0)</f>
        <v>0</v>
      </c>
      <c r="O32" s="505">
        <f>+N32-L32</f>
        <v>0</v>
      </c>
      <c r="P32" s="279"/>
      <c r="Q32" s="221"/>
      <c r="R32" s="279"/>
      <c r="S32" s="279"/>
      <c r="T32" s="279"/>
      <c r="U32" s="244"/>
    </row>
    <row r="33" spans="3:21" ht="12.5">
      <c r="C33" s="496">
        <f>IF(D13="","-",+C32+1)</f>
        <v>2032</v>
      </c>
      <c r="D33" s="511">
        <f>IF(F32+SUM(E$17:E32)=D$10,F32,D$10-SUM(E$17:E32))</f>
        <v>43126975.094157122</v>
      </c>
      <c r="E33" s="510">
        <f>IF(+I14&lt;F32,I14,D33)</f>
        <v>1664572.4146341463</v>
      </c>
      <c r="F33" s="511">
        <f>+D33-E33</f>
        <v>41462402.679522976</v>
      </c>
      <c r="G33" s="512">
        <f t="shared" si="4"/>
        <v>6633818.8474638797</v>
      </c>
      <c r="H33" s="478">
        <f t="shared" si="5"/>
        <v>6633818.8474638797</v>
      </c>
      <c r="I33" s="501">
        <f>H33-G33</f>
        <v>0</v>
      </c>
      <c r="J33" s="501"/>
      <c r="K33" s="513"/>
      <c r="L33" s="505">
        <f>IF(K33&lt;&gt;0,+G33-K33,0)</f>
        <v>0</v>
      </c>
      <c r="M33" s="513"/>
      <c r="N33" s="505">
        <f>IF(M33&lt;&gt;0,+H33-M33,0)</f>
        <v>0</v>
      </c>
      <c r="O33" s="505">
        <f>+N33-L33</f>
        <v>0</v>
      </c>
      <c r="P33" s="279"/>
      <c r="R33" s="244"/>
      <c r="S33" s="244"/>
      <c r="T33" s="244"/>
      <c r="U33" s="244"/>
    </row>
    <row r="34" spans="3:21" ht="12.5">
      <c r="C34" s="514">
        <f>IF(D11="","-",+C33+1)</f>
        <v>2033</v>
      </c>
      <c r="D34" s="517">
        <f>IF(F33+SUM(E$17:E33)=D$10,F33,D$10-SUM(E$17:E33))</f>
        <v>41462402.679522976</v>
      </c>
      <c r="E34" s="516">
        <f>IF(+I14&lt;F33,I14,D34)</f>
        <v>1664572.4146341463</v>
      </c>
      <c r="F34" s="517">
        <f t="shared" si="3"/>
        <v>39797830.26488883</v>
      </c>
      <c r="G34" s="512">
        <f t="shared" si="4"/>
        <v>6438246.5249971412</v>
      </c>
      <c r="H34" s="478">
        <f t="shared" si="5"/>
        <v>6438246.5249971412</v>
      </c>
      <c r="I34" s="520">
        <f t="shared" si="0"/>
        <v>0</v>
      </c>
      <c r="J34" s="520"/>
      <c r="K34" s="521"/>
      <c r="L34" s="522">
        <f t="shared" si="6"/>
        <v>0</v>
      </c>
      <c r="M34" s="521"/>
      <c r="N34" s="522">
        <f t="shared" si="1"/>
        <v>0</v>
      </c>
      <c r="O34" s="522">
        <f t="shared" si="2"/>
        <v>0</v>
      </c>
      <c r="P34" s="523"/>
      <c r="Q34" s="217"/>
      <c r="R34" s="523"/>
      <c r="S34" s="523"/>
      <c r="T34" s="523"/>
      <c r="U34" s="244"/>
    </row>
    <row r="35" spans="3:21" ht="12.5">
      <c r="C35" s="496">
        <f>IF(D11="","-",+C34+1)</f>
        <v>2034</v>
      </c>
      <c r="D35" s="511">
        <f>IF(F34+SUM(E$17:E34)=D$10,F34,D$10-SUM(E$17:E34))</f>
        <v>39797830.26488883</v>
      </c>
      <c r="E35" s="510">
        <f>IF(+I14&lt;F34,I14,D35)</f>
        <v>1664572.4146341463</v>
      </c>
      <c r="F35" s="511">
        <f t="shared" si="3"/>
        <v>38133257.850254685</v>
      </c>
      <c r="G35" s="512">
        <f t="shared" si="4"/>
        <v>6242674.2025304008</v>
      </c>
      <c r="H35" s="478">
        <f t="shared" si="5"/>
        <v>6242674.2025304008</v>
      </c>
      <c r="I35" s="501">
        <f t="shared" si="0"/>
        <v>0</v>
      </c>
      <c r="J35" s="501"/>
      <c r="K35" s="513"/>
      <c r="L35" s="505">
        <f t="shared" si="6"/>
        <v>0</v>
      </c>
      <c r="M35" s="513"/>
      <c r="N35" s="505">
        <f t="shared" si="1"/>
        <v>0</v>
      </c>
      <c r="O35" s="505">
        <f t="shared" si="2"/>
        <v>0</v>
      </c>
      <c r="P35" s="279"/>
      <c r="R35" s="244"/>
      <c r="S35" s="244"/>
      <c r="T35" s="244"/>
      <c r="U35" s="244"/>
    </row>
    <row r="36" spans="3:21" ht="12.5">
      <c r="C36" s="496">
        <f>IF(D11="","-",+C35+1)</f>
        <v>2035</v>
      </c>
      <c r="D36" s="511">
        <f>IF(F35+SUM(E$17:E35)=D$10,F35,D$10-SUM(E$17:E35))</f>
        <v>38133257.850254685</v>
      </c>
      <c r="E36" s="510">
        <f>IF(+I14&lt;F35,I14,D36)</f>
        <v>1664572.4146341463</v>
      </c>
      <c r="F36" s="511">
        <f t="shared" si="3"/>
        <v>36468685.435620539</v>
      </c>
      <c r="G36" s="512">
        <f t="shared" si="4"/>
        <v>6047101.8800636623</v>
      </c>
      <c r="H36" s="478">
        <f t="shared" si="5"/>
        <v>6047101.8800636623</v>
      </c>
      <c r="I36" s="501">
        <f t="shared" si="0"/>
        <v>0</v>
      </c>
      <c r="J36" s="501"/>
      <c r="K36" s="513"/>
      <c r="L36" s="505">
        <f t="shared" si="6"/>
        <v>0</v>
      </c>
      <c r="M36" s="513"/>
      <c r="N36" s="505">
        <f t="shared" si="1"/>
        <v>0</v>
      </c>
      <c r="O36" s="505">
        <f t="shared" si="2"/>
        <v>0</v>
      </c>
      <c r="P36" s="279"/>
      <c r="R36" s="244"/>
      <c r="S36" s="244"/>
      <c r="T36" s="244"/>
      <c r="U36" s="244"/>
    </row>
    <row r="37" spans="3:21" ht="12.5">
      <c r="C37" s="496">
        <f>IF(D11="","-",+C36+1)</f>
        <v>2036</v>
      </c>
      <c r="D37" s="511">
        <f>IF(F36+SUM(E$17:E36)=D$10,F36,D$10-SUM(E$17:E36))</f>
        <v>36468685.435620539</v>
      </c>
      <c r="E37" s="510">
        <f>IF(+I14&lt;F36,I14,D37)</f>
        <v>1664572.4146341463</v>
      </c>
      <c r="F37" s="511">
        <f t="shared" si="3"/>
        <v>34804113.020986393</v>
      </c>
      <c r="G37" s="512">
        <f t="shared" si="4"/>
        <v>5851529.5575969219</v>
      </c>
      <c r="H37" s="478">
        <f t="shared" si="5"/>
        <v>5851529.5575969219</v>
      </c>
      <c r="I37" s="501">
        <f t="shared" si="0"/>
        <v>0</v>
      </c>
      <c r="J37" s="501"/>
      <c r="K37" s="513"/>
      <c r="L37" s="505">
        <f t="shared" si="6"/>
        <v>0</v>
      </c>
      <c r="M37" s="513"/>
      <c r="N37" s="505">
        <f t="shared" si="1"/>
        <v>0</v>
      </c>
      <c r="O37" s="505">
        <f t="shared" si="2"/>
        <v>0</v>
      </c>
      <c r="P37" s="279"/>
      <c r="R37" s="244"/>
      <c r="S37" s="244"/>
      <c r="T37" s="244"/>
      <c r="U37" s="244"/>
    </row>
    <row r="38" spans="3:21" ht="12.5">
      <c r="C38" s="496">
        <f>IF(D11="","-",+C37+1)</f>
        <v>2037</v>
      </c>
      <c r="D38" s="511">
        <f>IF(F37+SUM(E$17:E37)=D$10,F37,D$10-SUM(E$17:E37))</f>
        <v>34804113.020986393</v>
      </c>
      <c r="E38" s="510">
        <f>IF(+I14&lt;F37,I14,D38)</f>
        <v>1664572.4146341463</v>
      </c>
      <c r="F38" s="511">
        <f t="shared" si="3"/>
        <v>33139540.606352247</v>
      </c>
      <c r="G38" s="512">
        <f t="shared" si="4"/>
        <v>5655957.2351301825</v>
      </c>
      <c r="H38" s="478">
        <f t="shared" si="5"/>
        <v>5655957.2351301825</v>
      </c>
      <c r="I38" s="501">
        <f t="shared" si="0"/>
        <v>0</v>
      </c>
      <c r="J38" s="501"/>
      <c r="K38" s="513"/>
      <c r="L38" s="505">
        <f t="shared" si="6"/>
        <v>0</v>
      </c>
      <c r="M38" s="513"/>
      <c r="N38" s="505">
        <f t="shared" si="1"/>
        <v>0</v>
      </c>
      <c r="O38" s="505">
        <f t="shared" si="2"/>
        <v>0</v>
      </c>
      <c r="P38" s="279"/>
      <c r="R38" s="244"/>
      <c r="S38" s="244"/>
      <c r="T38" s="244"/>
      <c r="U38" s="244"/>
    </row>
    <row r="39" spans="3:21" ht="12.5">
      <c r="C39" s="496">
        <f>IF(D11="","-",+C38+1)</f>
        <v>2038</v>
      </c>
      <c r="D39" s="511">
        <f>IF(F38+SUM(E$17:E38)=D$10,F38,D$10-SUM(E$17:E38))</f>
        <v>33139540.606352247</v>
      </c>
      <c r="E39" s="510">
        <f>IF(+I14&lt;F38,I14,D39)</f>
        <v>1664572.4146341463</v>
      </c>
      <c r="F39" s="511">
        <f t="shared" si="3"/>
        <v>31474968.191718102</v>
      </c>
      <c r="G39" s="512">
        <f t="shared" si="4"/>
        <v>5460384.912663443</v>
      </c>
      <c r="H39" s="478">
        <f t="shared" si="5"/>
        <v>5460384.912663443</v>
      </c>
      <c r="I39" s="501">
        <f t="shared" si="0"/>
        <v>0</v>
      </c>
      <c r="J39" s="501"/>
      <c r="K39" s="513"/>
      <c r="L39" s="505">
        <f t="shared" si="6"/>
        <v>0</v>
      </c>
      <c r="M39" s="513"/>
      <c r="N39" s="505">
        <f t="shared" si="1"/>
        <v>0</v>
      </c>
      <c r="O39" s="505">
        <f t="shared" si="2"/>
        <v>0</v>
      </c>
      <c r="P39" s="279"/>
      <c r="R39" s="244"/>
      <c r="S39" s="244"/>
      <c r="T39" s="244"/>
      <c r="U39" s="244"/>
    </row>
    <row r="40" spans="3:21" ht="12.5">
      <c r="C40" s="496">
        <f>IF(D11="","-",+C39+1)</f>
        <v>2039</v>
      </c>
      <c r="D40" s="511">
        <f>IF(F39+SUM(E$17:E39)=D$10,F39,D$10-SUM(E$17:E39))</f>
        <v>31474968.191718102</v>
      </c>
      <c r="E40" s="510">
        <f>IF(+I14&lt;F39,I14,D40)</f>
        <v>1664572.4146341463</v>
      </c>
      <c r="F40" s="511">
        <f t="shared" si="3"/>
        <v>29810395.777083956</v>
      </c>
      <c r="G40" s="512">
        <f t="shared" si="4"/>
        <v>5264812.5901967026</v>
      </c>
      <c r="H40" s="478">
        <f t="shared" si="5"/>
        <v>5264812.5901967026</v>
      </c>
      <c r="I40" s="501">
        <f t="shared" si="0"/>
        <v>0</v>
      </c>
      <c r="J40" s="501"/>
      <c r="K40" s="513"/>
      <c r="L40" s="505">
        <f t="shared" si="6"/>
        <v>0</v>
      </c>
      <c r="M40" s="513"/>
      <c r="N40" s="505">
        <f t="shared" si="1"/>
        <v>0</v>
      </c>
      <c r="O40" s="505">
        <f t="shared" si="2"/>
        <v>0</v>
      </c>
      <c r="P40" s="279"/>
      <c r="R40" s="244"/>
      <c r="S40" s="244"/>
      <c r="T40" s="244"/>
      <c r="U40" s="244"/>
    </row>
    <row r="41" spans="3:21" ht="12.5">
      <c r="C41" s="496">
        <f>IF(D12="","-",+C40+1)</f>
        <v>2040</v>
      </c>
      <c r="D41" s="511">
        <f>IF(F40+SUM(E$17:E40)=D$10,F40,D$10-SUM(E$17:E40))</f>
        <v>29810395.777083956</v>
      </c>
      <c r="E41" s="510">
        <f>IF(+I14&lt;F40,I14,D41)</f>
        <v>1664572.4146341463</v>
      </c>
      <c r="F41" s="511">
        <f t="shared" si="3"/>
        <v>28145823.36244981</v>
      </c>
      <c r="G41" s="512">
        <f t="shared" si="4"/>
        <v>5069240.2677299641</v>
      </c>
      <c r="H41" s="478">
        <f t="shared" si="5"/>
        <v>5069240.2677299641</v>
      </c>
      <c r="I41" s="501">
        <f t="shared" si="0"/>
        <v>0</v>
      </c>
      <c r="J41" s="501"/>
      <c r="K41" s="513"/>
      <c r="L41" s="505">
        <f t="shared" si="6"/>
        <v>0</v>
      </c>
      <c r="M41" s="513"/>
      <c r="N41" s="505">
        <f t="shared" si="1"/>
        <v>0</v>
      </c>
      <c r="O41" s="505">
        <f t="shared" si="2"/>
        <v>0</v>
      </c>
      <c r="P41" s="279"/>
      <c r="R41" s="244"/>
      <c r="S41" s="244"/>
      <c r="T41" s="244"/>
      <c r="U41" s="244"/>
    </row>
    <row r="42" spans="3:21" ht="12.5">
      <c r="C42" s="496">
        <f>IF(D13="","-",+C41+1)</f>
        <v>2041</v>
      </c>
      <c r="D42" s="511">
        <f>IF(F41+SUM(E$17:E41)=D$10,F41,D$10-SUM(E$17:E41))</f>
        <v>28145823.36244981</v>
      </c>
      <c r="E42" s="510">
        <f>IF(+I14&lt;F41,I14,D42)</f>
        <v>1664572.4146341463</v>
      </c>
      <c r="F42" s="511">
        <f t="shared" si="3"/>
        <v>26481250.947815664</v>
      </c>
      <c r="G42" s="512">
        <f t="shared" si="4"/>
        <v>4873667.9452632237</v>
      </c>
      <c r="H42" s="478">
        <f t="shared" si="5"/>
        <v>4873667.9452632237</v>
      </c>
      <c r="I42" s="501">
        <f t="shared" si="0"/>
        <v>0</v>
      </c>
      <c r="J42" s="501"/>
      <c r="K42" s="513"/>
      <c r="L42" s="505">
        <f t="shared" si="6"/>
        <v>0</v>
      </c>
      <c r="M42" s="513"/>
      <c r="N42" s="505">
        <f t="shared" si="1"/>
        <v>0</v>
      </c>
      <c r="O42" s="505">
        <f t="shared" si="2"/>
        <v>0</v>
      </c>
      <c r="P42" s="279"/>
      <c r="R42" s="244"/>
      <c r="S42" s="244"/>
      <c r="T42" s="244"/>
      <c r="U42" s="244"/>
    </row>
    <row r="43" spans="3:21" ht="12.5">
      <c r="C43" s="496">
        <f>IF(D14="","-",+C42+1)</f>
        <v>2042</v>
      </c>
      <c r="D43" s="511">
        <f>IF(F42+SUM(E$17:E42)=D$10,F42,D$10-SUM(E$17:E42))</f>
        <v>26481250.947815664</v>
      </c>
      <c r="E43" s="510">
        <f>IF(+I14&lt;F42,I14,D43)</f>
        <v>1664572.4146341463</v>
      </c>
      <c r="F43" s="511">
        <f t="shared" si="3"/>
        <v>24816678.533181518</v>
      </c>
      <c r="G43" s="512">
        <f t="shared" si="4"/>
        <v>4678095.6227964852</v>
      </c>
      <c r="H43" s="478">
        <f t="shared" si="5"/>
        <v>4678095.6227964852</v>
      </c>
      <c r="I43" s="501">
        <f t="shared" si="0"/>
        <v>0</v>
      </c>
      <c r="J43" s="501"/>
      <c r="K43" s="513"/>
      <c r="L43" s="505">
        <f t="shared" si="6"/>
        <v>0</v>
      </c>
      <c r="M43" s="513"/>
      <c r="N43" s="505">
        <f t="shared" si="1"/>
        <v>0</v>
      </c>
      <c r="O43" s="505">
        <f t="shared" si="2"/>
        <v>0</v>
      </c>
      <c r="P43" s="279"/>
      <c r="R43" s="244"/>
      <c r="S43" s="244"/>
      <c r="T43" s="244"/>
      <c r="U43" s="244"/>
    </row>
    <row r="44" spans="3:21" ht="12.5">
      <c r="C44" s="496">
        <f>IF(D11="","-",+C43+1)</f>
        <v>2043</v>
      </c>
      <c r="D44" s="511">
        <f>IF(F43+SUM(E$17:E43)=D$10,F43,D$10-SUM(E$17:E43))</f>
        <v>24816678.533181518</v>
      </c>
      <c r="E44" s="510">
        <f>IF(+I14&lt;F43,I14,D44)</f>
        <v>1664572.4146341463</v>
      </c>
      <c r="F44" s="511">
        <f t="shared" si="3"/>
        <v>23152106.118547373</v>
      </c>
      <c r="G44" s="512">
        <f t="shared" si="4"/>
        <v>4482523.3003297448</v>
      </c>
      <c r="H44" s="478">
        <f t="shared" si="5"/>
        <v>4482523.3003297448</v>
      </c>
      <c r="I44" s="501">
        <f t="shared" si="0"/>
        <v>0</v>
      </c>
      <c r="J44" s="501"/>
      <c r="K44" s="513"/>
      <c r="L44" s="505">
        <f t="shared" si="6"/>
        <v>0</v>
      </c>
      <c r="M44" s="513"/>
      <c r="N44" s="505">
        <f t="shared" si="1"/>
        <v>0</v>
      </c>
      <c r="O44" s="505">
        <f t="shared" si="2"/>
        <v>0</v>
      </c>
      <c r="P44" s="279"/>
      <c r="R44" s="244"/>
      <c r="S44" s="244"/>
      <c r="T44" s="244"/>
      <c r="U44" s="244"/>
    </row>
    <row r="45" spans="3:21" ht="12.5">
      <c r="C45" s="496">
        <f>IF(D11="","-",+C44+1)</f>
        <v>2044</v>
      </c>
      <c r="D45" s="511">
        <f>IF(F44+SUM(E$17:E44)=D$10,F44,D$10-SUM(E$17:E44))</f>
        <v>23152106.118547373</v>
      </c>
      <c r="E45" s="510">
        <f>IF(+I14&lt;F44,I14,D45)</f>
        <v>1664572.4146341463</v>
      </c>
      <c r="F45" s="511">
        <f t="shared" si="3"/>
        <v>21487533.703913227</v>
      </c>
      <c r="G45" s="512">
        <f t="shared" si="4"/>
        <v>4286950.9778630063</v>
      </c>
      <c r="H45" s="478">
        <f t="shared" si="5"/>
        <v>4286950.9778630063</v>
      </c>
      <c r="I45" s="501">
        <f t="shared" si="0"/>
        <v>0</v>
      </c>
      <c r="J45" s="501"/>
      <c r="K45" s="513"/>
      <c r="L45" s="505">
        <f t="shared" si="6"/>
        <v>0</v>
      </c>
      <c r="M45" s="513"/>
      <c r="N45" s="505">
        <f t="shared" si="1"/>
        <v>0</v>
      </c>
      <c r="O45" s="505">
        <f t="shared" si="2"/>
        <v>0</v>
      </c>
      <c r="P45" s="279"/>
      <c r="R45" s="244"/>
      <c r="S45" s="244"/>
      <c r="T45" s="244"/>
      <c r="U45" s="244"/>
    </row>
    <row r="46" spans="3:21" ht="12.5">
      <c r="C46" s="496">
        <f>IF(D11="","-",+C45+1)</f>
        <v>2045</v>
      </c>
      <c r="D46" s="511">
        <f>IF(F45+SUM(E$17:E45)=D$10,F45,D$10-SUM(E$17:E45))</f>
        <v>21487533.703913227</v>
      </c>
      <c r="E46" s="510">
        <f>IF(+I14&lt;F45,I14,D46)</f>
        <v>1664572.4146341463</v>
      </c>
      <c r="F46" s="511">
        <f t="shared" si="3"/>
        <v>19822961.289279081</v>
      </c>
      <c r="G46" s="512">
        <f t="shared" si="4"/>
        <v>4091378.6553962664</v>
      </c>
      <c r="H46" s="478">
        <f t="shared" si="5"/>
        <v>4091378.6553962664</v>
      </c>
      <c r="I46" s="501">
        <f t="shared" si="0"/>
        <v>0</v>
      </c>
      <c r="J46" s="501"/>
      <c r="K46" s="513"/>
      <c r="L46" s="505">
        <f t="shared" si="6"/>
        <v>0</v>
      </c>
      <c r="M46" s="513"/>
      <c r="N46" s="505">
        <f t="shared" si="1"/>
        <v>0</v>
      </c>
      <c r="O46" s="505">
        <f t="shared" si="2"/>
        <v>0</v>
      </c>
      <c r="P46" s="279"/>
      <c r="R46" s="244"/>
      <c r="S46" s="244"/>
      <c r="T46" s="244"/>
      <c r="U46" s="244"/>
    </row>
    <row r="47" spans="3:21" ht="12.5">
      <c r="C47" s="496">
        <f>IF(D11="","-",+C46+1)</f>
        <v>2046</v>
      </c>
      <c r="D47" s="511">
        <f>IF(F46+SUM(E$17:E46)=D$10,F46,D$10-SUM(E$17:E46))</f>
        <v>19822961.289279081</v>
      </c>
      <c r="E47" s="510">
        <f>IF(+I14&lt;F46,I14,D47)</f>
        <v>1664572.4146341463</v>
      </c>
      <c r="F47" s="511">
        <f t="shared" si="3"/>
        <v>18158388.874644935</v>
      </c>
      <c r="G47" s="512">
        <f t="shared" si="4"/>
        <v>3895806.3329295269</v>
      </c>
      <c r="H47" s="478">
        <f t="shared" si="5"/>
        <v>3895806.3329295269</v>
      </c>
      <c r="I47" s="501">
        <f t="shared" si="0"/>
        <v>0</v>
      </c>
      <c r="J47" s="501"/>
      <c r="K47" s="513"/>
      <c r="L47" s="505">
        <f t="shared" si="6"/>
        <v>0</v>
      </c>
      <c r="M47" s="513"/>
      <c r="N47" s="505">
        <f t="shared" si="1"/>
        <v>0</v>
      </c>
      <c r="O47" s="505">
        <f t="shared" si="2"/>
        <v>0</v>
      </c>
      <c r="P47" s="279"/>
      <c r="R47" s="244"/>
      <c r="S47" s="244"/>
      <c r="T47" s="244"/>
      <c r="U47" s="244"/>
    </row>
    <row r="48" spans="3:21" ht="12.5">
      <c r="C48" s="496">
        <f>IF(D11="","-",+C47+1)</f>
        <v>2047</v>
      </c>
      <c r="D48" s="511">
        <f>IF(F47+SUM(E$17:E47)=D$10,F47,D$10-SUM(E$17:E47))</f>
        <v>18158388.874644935</v>
      </c>
      <c r="E48" s="510">
        <f>IF(+I14&lt;F47,I14,D48)</f>
        <v>1664572.4146341463</v>
      </c>
      <c r="F48" s="511">
        <f t="shared" si="3"/>
        <v>16493816.460010789</v>
      </c>
      <c r="G48" s="512">
        <f t="shared" si="4"/>
        <v>3700234.0104627875</v>
      </c>
      <c r="H48" s="478">
        <f t="shared" si="5"/>
        <v>3700234.0104627875</v>
      </c>
      <c r="I48" s="501">
        <f t="shared" si="0"/>
        <v>0</v>
      </c>
      <c r="J48" s="501"/>
      <c r="K48" s="513"/>
      <c r="L48" s="505">
        <f t="shared" si="6"/>
        <v>0</v>
      </c>
      <c r="M48" s="513"/>
      <c r="N48" s="505">
        <f t="shared" si="1"/>
        <v>0</v>
      </c>
      <c r="O48" s="505">
        <f t="shared" si="2"/>
        <v>0</v>
      </c>
      <c r="P48" s="279"/>
      <c r="R48" s="244"/>
      <c r="S48" s="244"/>
      <c r="T48" s="244"/>
      <c r="U48" s="244"/>
    </row>
    <row r="49" spans="3:21" ht="12.5">
      <c r="C49" s="496">
        <f>IF(D11="","-",+C48+1)</f>
        <v>2048</v>
      </c>
      <c r="D49" s="511">
        <f>IF(F48+SUM(E$17:E48)=D$10,F48,D$10-SUM(E$17:E48))</f>
        <v>16493816.460010789</v>
      </c>
      <c r="E49" s="510">
        <f>IF(+I14&lt;F48,I14,D49)</f>
        <v>1664572.4146341463</v>
      </c>
      <c r="F49" s="511">
        <f t="shared" si="3"/>
        <v>14829244.045376644</v>
      </c>
      <c r="G49" s="512">
        <f t="shared" si="4"/>
        <v>3504661.6879960475</v>
      </c>
      <c r="H49" s="478">
        <f t="shared" si="5"/>
        <v>3504661.6879960475</v>
      </c>
      <c r="I49" s="501">
        <f t="shared" si="0"/>
        <v>0</v>
      </c>
      <c r="J49" s="501"/>
      <c r="K49" s="513"/>
      <c r="L49" s="505">
        <f t="shared" si="6"/>
        <v>0</v>
      </c>
      <c r="M49" s="513"/>
      <c r="N49" s="505">
        <f t="shared" si="1"/>
        <v>0</v>
      </c>
      <c r="O49" s="505">
        <f t="shared" si="2"/>
        <v>0</v>
      </c>
      <c r="P49" s="279"/>
      <c r="R49" s="244"/>
      <c r="S49" s="244"/>
      <c r="T49" s="244"/>
      <c r="U49" s="244"/>
    </row>
    <row r="50" spans="3:21" ht="12.5">
      <c r="C50" s="496">
        <f>IF(D11="","-",+C49+1)</f>
        <v>2049</v>
      </c>
      <c r="D50" s="511">
        <f>IF(F49+SUM(E$17:E49)=D$10,F49,D$10-SUM(E$17:E49))</f>
        <v>14829244.045376644</v>
      </c>
      <c r="E50" s="510">
        <f>IF(+I14&lt;F49,I14,D50)</f>
        <v>1664572.4146341463</v>
      </c>
      <c r="F50" s="511">
        <f t="shared" si="3"/>
        <v>13164671.630742498</v>
      </c>
      <c r="G50" s="512">
        <f t="shared" si="4"/>
        <v>3309089.3655293081</v>
      </c>
      <c r="H50" s="478">
        <f t="shared" si="5"/>
        <v>3309089.3655293081</v>
      </c>
      <c r="I50" s="501">
        <f t="shared" si="0"/>
        <v>0</v>
      </c>
      <c r="J50" s="501"/>
      <c r="K50" s="513"/>
      <c r="L50" s="505">
        <f t="shared" si="6"/>
        <v>0</v>
      </c>
      <c r="M50" s="513"/>
      <c r="N50" s="505">
        <f t="shared" si="1"/>
        <v>0</v>
      </c>
      <c r="O50" s="505">
        <f t="shared" si="2"/>
        <v>0</v>
      </c>
      <c r="P50" s="279"/>
      <c r="R50" s="244"/>
      <c r="S50" s="244"/>
      <c r="T50" s="244"/>
      <c r="U50" s="244"/>
    </row>
    <row r="51" spans="3:21" ht="12.5">
      <c r="C51" s="496">
        <f>IF(D11="","-",+C50+1)</f>
        <v>2050</v>
      </c>
      <c r="D51" s="511">
        <f>IF(F50+SUM(E$17:E50)=D$10,F50,D$10-SUM(E$17:E50))</f>
        <v>13164671.630742498</v>
      </c>
      <c r="E51" s="510">
        <f>IF(+I14&lt;F50,I14,D51)</f>
        <v>1664572.4146341463</v>
      </c>
      <c r="F51" s="511">
        <f t="shared" si="3"/>
        <v>11500099.216108352</v>
      </c>
      <c r="G51" s="512">
        <f t="shared" si="4"/>
        <v>3113517.0430625686</v>
      </c>
      <c r="H51" s="478">
        <f t="shared" si="5"/>
        <v>3113517.0430625686</v>
      </c>
      <c r="I51" s="501">
        <f t="shared" si="0"/>
        <v>0</v>
      </c>
      <c r="J51" s="501"/>
      <c r="K51" s="513"/>
      <c r="L51" s="505">
        <f t="shared" si="6"/>
        <v>0</v>
      </c>
      <c r="M51" s="513"/>
      <c r="N51" s="505">
        <f t="shared" si="1"/>
        <v>0</v>
      </c>
      <c r="O51" s="505">
        <f t="shared" si="2"/>
        <v>0</v>
      </c>
      <c r="P51" s="279"/>
      <c r="R51" s="244"/>
      <c r="S51" s="244"/>
      <c r="T51" s="244"/>
      <c r="U51" s="244"/>
    </row>
    <row r="52" spans="3:21" ht="12.5">
      <c r="C52" s="496">
        <f>IF(D11="","-",+C51+1)</f>
        <v>2051</v>
      </c>
      <c r="D52" s="511">
        <f>IF(F51+SUM(E$17:E51)=D$10,F51,D$10-SUM(E$17:E51))</f>
        <v>11500099.216108352</v>
      </c>
      <c r="E52" s="510">
        <f>IF(+I14&lt;F51,I14,D52)</f>
        <v>1664572.4146341463</v>
      </c>
      <c r="F52" s="511">
        <f t="shared" si="3"/>
        <v>9835526.8014742061</v>
      </c>
      <c r="G52" s="512">
        <f t="shared" si="4"/>
        <v>2917944.7205958292</v>
      </c>
      <c r="H52" s="478">
        <f t="shared" si="5"/>
        <v>2917944.7205958292</v>
      </c>
      <c r="I52" s="501">
        <f t="shared" si="0"/>
        <v>0</v>
      </c>
      <c r="J52" s="501"/>
      <c r="K52" s="513"/>
      <c r="L52" s="505">
        <f t="shared" si="6"/>
        <v>0</v>
      </c>
      <c r="M52" s="513"/>
      <c r="N52" s="505">
        <f t="shared" si="1"/>
        <v>0</v>
      </c>
      <c r="O52" s="505">
        <f t="shared" si="2"/>
        <v>0</v>
      </c>
      <c r="P52" s="279"/>
      <c r="R52" s="244"/>
      <c r="S52" s="244"/>
      <c r="T52" s="244"/>
      <c r="U52" s="244"/>
    </row>
    <row r="53" spans="3:21" ht="12.5">
      <c r="C53" s="496">
        <f>IF(D11="","-",+C52+1)</f>
        <v>2052</v>
      </c>
      <c r="D53" s="511">
        <f>IF(F52+SUM(E$17:E52)=D$10,F52,D$10-SUM(E$17:E52))</f>
        <v>9835526.8014742061</v>
      </c>
      <c r="E53" s="510">
        <f>IF(+I14&lt;F52,I14,D53)</f>
        <v>1664572.4146341463</v>
      </c>
      <c r="F53" s="511">
        <f t="shared" si="3"/>
        <v>8170954.3868400604</v>
      </c>
      <c r="G53" s="512">
        <f t="shared" si="4"/>
        <v>2722372.3981290897</v>
      </c>
      <c r="H53" s="478">
        <f t="shared" si="5"/>
        <v>2722372.3981290897</v>
      </c>
      <c r="I53" s="501">
        <f t="shared" si="0"/>
        <v>0</v>
      </c>
      <c r="J53" s="501"/>
      <c r="K53" s="513"/>
      <c r="L53" s="505">
        <f t="shared" si="6"/>
        <v>0</v>
      </c>
      <c r="M53" s="513"/>
      <c r="N53" s="505">
        <f t="shared" si="1"/>
        <v>0</v>
      </c>
      <c r="O53" s="505">
        <f t="shared" si="2"/>
        <v>0</v>
      </c>
      <c r="P53" s="279"/>
      <c r="R53" s="244"/>
      <c r="S53" s="244"/>
      <c r="T53" s="244"/>
      <c r="U53" s="244"/>
    </row>
    <row r="54" spans="3:21" ht="12.5">
      <c r="C54" s="496">
        <f>IF(D11="","-",+C53+1)</f>
        <v>2053</v>
      </c>
      <c r="D54" s="511">
        <f>IF(F53+SUM(E$17:E53)=D$10,F53,D$10-SUM(E$17:E53))</f>
        <v>8170954.3868400604</v>
      </c>
      <c r="E54" s="510">
        <f>IF(+I14&lt;F53,I14,D54)</f>
        <v>1664572.4146341463</v>
      </c>
      <c r="F54" s="511">
        <f t="shared" si="3"/>
        <v>6506381.9722059146</v>
      </c>
      <c r="G54" s="512">
        <f t="shared" si="4"/>
        <v>2526800.0756623503</v>
      </c>
      <c r="H54" s="478">
        <f t="shared" si="5"/>
        <v>2526800.0756623503</v>
      </c>
      <c r="I54" s="501">
        <f t="shared" si="0"/>
        <v>0</v>
      </c>
      <c r="J54" s="501"/>
      <c r="K54" s="513"/>
      <c r="L54" s="505">
        <f t="shared" si="6"/>
        <v>0</v>
      </c>
      <c r="M54" s="513"/>
      <c r="N54" s="505">
        <f t="shared" si="1"/>
        <v>0</v>
      </c>
      <c r="O54" s="505">
        <f t="shared" si="2"/>
        <v>0</v>
      </c>
      <c r="P54" s="279"/>
      <c r="R54" s="244"/>
      <c r="S54" s="244"/>
      <c r="T54" s="244"/>
      <c r="U54" s="244"/>
    </row>
    <row r="55" spans="3:21" ht="12.5">
      <c r="C55" s="496">
        <f>IF(D11="","-",+C54+1)</f>
        <v>2054</v>
      </c>
      <c r="D55" s="511">
        <f>IF(F54+SUM(E$17:E54)=D$10,F54,D$10-SUM(E$17:E54))</f>
        <v>6506381.9722059146</v>
      </c>
      <c r="E55" s="510">
        <f>IF(+I14&lt;F54,I14,D55)</f>
        <v>1664572.4146341463</v>
      </c>
      <c r="F55" s="511">
        <f t="shared" si="3"/>
        <v>4841809.5575717688</v>
      </c>
      <c r="G55" s="512">
        <f t="shared" si="4"/>
        <v>2331227.7531956108</v>
      </c>
      <c r="H55" s="478">
        <f t="shared" si="5"/>
        <v>2331227.7531956108</v>
      </c>
      <c r="I55" s="501">
        <f t="shared" si="0"/>
        <v>0</v>
      </c>
      <c r="J55" s="501"/>
      <c r="K55" s="513"/>
      <c r="L55" s="505">
        <f t="shared" si="6"/>
        <v>0</v>
      </c>
      <c r="M55" s="513"/>
      <c r="N55" s="505">
        <f t="shared" si="1"/>
        <v>0</v>
      </c>
      <c r="O55" s="505">
        <f t="shared" si="2"/>
        <v>0</v>
      </c>
      <c r="P55" s="279"/>
      <c r="R55" s="244"/>
      <c r="S55" s="244"/>
      <c r="T55" s="244"/>
      <c r="U55" s="244"/>
    </row>
    <row r="56" spans="3:21" ht="12.5">
      <c r="C56" s="496">
        <f>IF(D11="","-",+C55+1)</f>
        <v>2055</v>
      </c>
      <c r="D56" s="511">
        <f>IF(F55+SUM(E$17:E55)=D$10,F55,D$10-SUM(E$17:E55))</f>
        <v>4841809.5575717688</v>
      </c>
      <c r="E56" s="510">
        <f>IF(+I14&lt;F55,I14,D56)</f>
        <v>1664572.4146341463</v>
      </c>
      <c r="F56" s="511">
        <f t="shared" si="3"/>
        <v>3177237.1429376225</v>
      </c>
      <c r="G56" s="512">
        <f t="shared" si="4"/>
        <v>2135655.4307288714</v>
      </c>
      <c r="H56" s="478">
        <f t="shared" si="5"/>
        <v>2135655.4307288714</v>
      </c>
      <c r="I56" s="501">
        <f t="shared" si="0"/>
        <v>0</v>
      </c>
      <c r="J56" s="501"/>
      <c r="K56" s="513"/>
      <c r="L56" s="505">
        <f t="shared" si="6"/>
        <v>0</v>
      </c>
      <c r="M56" s="513"/>
      <c r="N56" s="505">
        <f t="shared" si="1"/>
        <v>0</v>
      </c>
      <c r="O56" s="505">
        <f t="shared" si="2"/>
        <v>0</v>
      </c>
      <c r="P56" s="279"/>
      <c r="R56" s="244"/>
      <c r="S56" s="244"/>
      <c r="T56" s="244"/>
      <c r="U56" s="244"/>
    </row>
    <row r="57" spans="3:21" ht="12.5">
      <c r="C57" s="496">
        <f>IF(D11="","-",+C56+1)</f>
        <v>2056</v>
      </c>
      <c r="D57" s="511">
        <f>IF(F56+SUM(E$17:E56)=D$10,F56,D$10-SUM(E$17:E56))</f>
        <v>3177237.1429376225</v>
      </c>
      <c r="E57" s="510">
        <f>IF(+I14&lt;F56,I14,D57)</f>
        <v>1664572.4146341463</v>
      </c>
      <c r="F57" s="511">
        <f t="shared" si="3"/>
        <v>1512664.7283034762</v>
      </c>
      <c r="G57" s="512">
        <f t="shared" si="4"/>
        <v>1940083.1082621319</v>
      </c>
      <c r="H57" s="478">
        <f t="shared" si="5"/>
        <v>1940083.1082621319</v>
      </c>
      <c r="I57" s="501">
        <f t="shared" si="0"/>
        <v>0</v>
      </c>
      <c r="J57" s="501"/>
      <c r="K57" s="513"/>
      <c r="L57" s="505">
        <f t="shared" si="6"/>
        <v>0</v>
      </c>
      <c r="M57" s="513"/>
      <c r="N57" s="505">
        <f t="shared" si="1"/>
        <v>0</v>
      </c>
      <c r="O57" s="505">
        <f t="shared" si="2"/>
        <v>0</v>
      </c>
      <c r="P57" s="279"/>
      <c r="R57" s="244"/>
      <c r="S57" s="244"/>
      <c r="T57" s="244"/>
      <c r="U57" s="244"/>
    </row>
    <row r="58" spans="3:21" ht="12.5">
      <c r="C58" s="496">
        <f>IF(D11="","-",+C57+1)</f>
        <v>2057</v>
      </c>
      <c r="D58" s="511">
        <f>IF(F57+SUM(E$17:E57)=D$10,F57,D$10-SUM(E$17:E57))</f>
        <v>1512664.7283034762</v>
      </c>
      <c r="E58" s="510">
        <f>IF(+I14&lt;F57,I14,D58)</f>
        <v>1512664.7283034762</v>
      </c>
      <c r="F58" s="511">
        <f t="shared" si="3"/>
        <v>0</v>
      </c>
      <c r="G58" s="512">
        <f t="shared" si="4"/>
        <v>1601526.9945007842</v>
      </c>
      <c r="H58" s="478">
        <f t="shared" si="5"/>
        <v>1601526.9945007842</v>
      </c>
      <c r="I58" s="501">
        <f t="shared" si="0"/>
        <v>0</v>
      </c>
      <c r="J58" s="501"/>
      <c r="K58" s="513"/>
      <c r="L58" s="505">
        <f t="shared" si="6"/>
        <v>0</v>
      </c>
      <c r="M58" s="513"/>
      <c r="N58" s="505">
        <f t="shared" si="1"/>
        <v>0</v>
      </c>
      <c r="O58" s="505">
        <f t="shared" si="2"/>
        <v>0</v>
      </c>
      <c r="P58" s="279"/>
      <c r="R58" s="244"/>
      <c r="S58" s="244"/>
      <c r="T58" s="244"/>
      <c r="U58" s="244"/>
    </row>
    <row r="59" spans="3:21" ht="12.5">
      <c r="C59" s="496">
        <f>IF(D11="","-",+C58+1)</f>
        <v>2058</v>
      </c>
      <c r="D59" s="511">
        <f>IF(F58+SUM(E$17:E58)=D$10,F58,D$10-SUM(E$17:E58))</f>
        <v>0</v>
      </c>
      <c r="E59" s="510">
        <f>IF(+I14&lt;F58,I14,D59)</f>
        <v>0</v>
      </c>
      <c r="F59" s="511">
        <f t="shared" si="3"/>
        <v>0</v>
      </c>
      <c r="G59" s="512">
        <f t="shared" si="4"/>
        <v>0</v>
      </c>
      <c r="H59" s="478">
        <f t="shared" si="5"/>
        <v>0</v>
      </c>
      <c r="I59" s="501">
        <f t="shared" si="0"/>
        <v>0</v>
      </c>
      <c r="J59" s="501"/>
      <c r="K59" s="513"/>
      <c r="L59" s="505">
        <f t="shared" si="6"/>
        <v>0</v>
      </c>
      <c r="M59" s="513"/>
      <c r="N59" s="505">
        <f t="shared" si="1"/>
        <v>0</v>
      </c>
      <c r="O59" s="505">
        <f t="shared" si="2"/>
        <v>0</v>
      </c>
      <c r="P59" s="279"/>
      <c r="R59" s="244"/>
      <c r="S59" s="244"/>
      <c r="T59" s="244"/>
      <c r="U59" s="244"/>
    </row>
    <row r="60" spans="3:21" ht="12.5">
      <c r="C60" s="496">
        <f>IF(D11="","-",+C59+1)</f>
        <v>2059</v>
      </c>
      <c r="D60" s="511">
        <f>IF(F59+SUM(E$17:E59)=D$10,F59,D$10-SUM(E$17:E59))</f>
        <v>0</v>
      </c>
      <c r="E60" s="510">
        <f>IF(+I14&lt;F59,I14,D60)</f>
        <v>0</v>
      </c>
      <c r="F60" s="511">
        <f t="shared" si="3"/>
        <v>0</v>
      </c>
      <c r="G60" s="512">
        <f t="shared" si="4"/>
        <v>0</v>
      </c>
      <c r="H60" s="478">
        <f t="shared" si="5"/>
        <v>0</v>
      </c>
      <c r="I60" s="501">
        <f t="shared" si="0"/>
        <v>0</v>
      </c>
      <c r="J60" s="501"/>
      <c r="K60" s="513"/>
      <c r="L60" s="505">
        <f t="shared" si="6"/>
        <v>0</v>
      </c>
      <c r="M60" s="513"/>
      <c r="N60" s="505">
        <f t="shared" si="1"/>
        <v>0</v>
      </c>
      <c r="O60" s="505">
        <f t="shared" si="2"/>
        <v>0</v>
      </c>
      <c r="P60" s="279"/>
      <c r="R60" s="244"/>
      <c r="S60" s="244"/>
      <c r="T60" s="244"/>
      <c r="U60" s="244"/>
    </row>
    <row r="61" spans="3:21" ht="12.5">
      <c r="C61" s="496">
        <f>IF(D11="","-",+C60+1)</f>
        <v>2060</v>
      </c>
      <c r="D61" s="511">
        <f>IF(F60+SUM(E$17:E60)=D$10,F60,D$10-SUM(E$17:E60))</f>
        <v>0</v>
      </c>
      <c r="E61" s="510">
        <f>IF(+I14&lt;F60,I14,D61)</f>
        <v>0</v>
      </c>
      <c r="F61" s="511">
        <f t="shared" si="3"/>
        <v>0</v>
      </c>
      <c r="G61" s="512">
        <f t="shared" si="4"/>
        <v>0</v>
      </c>
      <c r="H61" s="478">
        <f t="shared" si="5"/>
        <v>0</v>
      </c>
      <c r="I61" s="501">
        <f t="shared" si="0"/>
        <v>0</v>
      </c>
      <c r="J61" s="501"/>
      <c r="K61" s="513"/>
      <c r="L61" s="505">
        <f t="shared" si="6"/>
        <v>0</v>
      </c>
      <c r="M61" s="513"/>
      <c r="N61" s="505">
        <f t="shared" si="1"/>
        <v>0</v>
      </c>
      <c r="O61" s="505">
        <f t="shared" si="2"/>
        <v>0</v>
      </c>
      <c r="P61" s="279"/>
      <c r="R61" s="244"/>
      <c r="S61" s="244"/>
      <c r="T61" s="244"/>
      <c r="U61" s="244"/>
    </row>
    <row r="62" spans="3:21" ht="12.5">
      <c r="C62" s="496">
        <f>IF(D11="","-",+C61+1)</f>
        <v>2061</v>
      </c>
      <c r="D62" s="511">
        <f>IF(F61+SUM(E$17:E61)=D$10,F61,D$10-SUM(E$17:E61))</f>
        <v>0</v>
      </c>
      <c r="E62" s="510">
        <f>IF(+I14&lt;F61,I14,D62)</f>
        <v>0</v>
      </c>
      <c r="F62" s="511">
        <f t="shared" si="3"/>
        <v>0</v>
      </c>
      <c r="G62" s="512">
        <f t="shared" si="4"/>
        <v>0</v>
      </c>
      <c r="H62" s="478">
        <f t="shared" si="5"/>
        <v>0</v>
      </c>
      <c r="I62" s="501">
        <f t="shared" si="0"/>
        <v>0</v>
      </c>
      <c r="J62" s="501"/>
      <c r="K62" s="513"/>
      <c r="L62" s="505">
        <f t="shared" si="6"/>
        <v>0</v>
      </c>
      <c r="M62" s="513"/>
      <c r="N62" s="505">
        <f t="shared" si="1"/>
        <v>0</v>
      </c>
      <c r="O62" s="505">
        <f t="shared" si="2"/>
        <v>0</v>
      </c>
      <c r="P62" s="279"/>
      <c r="R62" s="244"/>
      <c r="S62" s="244"/>
      <c r="T62" s="244"/>
      <c r="U62" s="244"/>
    </row>
    <row r="63" spans="3:21" ht="12.5">
      <c r="C63" s="496">
        <f>IF(D11="","-",+C62+1)</f>
        <v>2062</v>
      </c>
      <c r="D63" s="511">
        <f>IF(F62+SUM(E$17:E62)=D$10,F62,D$10-SUM(E$17:E62))</f>
        <v>0</v>
      </c>
      <c r="E63" s="510">
        <f>IF(+I14&lt;F62,I14,D63)</f>
        <v>0</v>
      </c>
      <c r="F63" s="511">
        <f t="shared" si="3"/>
        <v>0</v>
      </c>
      <c r="G63" s="512">
        <f t="shared" si="4"/>
        <v>0</v>
      </c>
      <c r="H63" s="478">
        <f t="shared" si="5"/>
        <v>0</v>
      </c>
      <c r="I63" s="501">
        <f t="shared" si="0"/>
        <v>0</v>
      </c>
      <c r="J63" s="501"/>
      <c r="K63" s="513"/>
      <c r="L63" s="505">
        <f t="shared" si="6"/>
        <v>0</v>
      </c>
      <c r="M63" s="513"/>
      <c r="N63" s="505">
        <f t="shared" si="1"/>
        <v>0</v>
      </c>
      <c r="O63" s="505">
        <f t="shared" si="2"/>
        <v>0</v>
      </c>
      <c r="P63" s="279"/>
      <c r="R63" s="244"/>
      <c r="S63" s="244"/>
      <c r="T63" s="244"/>
      <c r="U63" s="244"/>
    </row>
    <row r="64" spans="3:21" ht="12.5">
      <c r="C64" s="496">
        <f>IF(D11="","-",+C63+1)</f>
        <v>2063</v>
      </c>
      <c r="D64" s="511">
        <f>IF(F63+SUM(E$17:E63)=D$10,F63,D$10-SUM(E$17:E63))</f>
        <v>0</v>
      </c>
      <c r="E64" s="510">
        <f>IF(+I14&lt;F63,I14,D64)</f>
        <v>0</v>
      </c>
      <c r="F64" s="511">
        <f t="shared" si="3"/>
        <v>0</v>
      </c>
      <c r="G64" s="512">
        <f t="shared" si="4"/>
        <v>0</v>
      </c>
      <c r="H64" s="478">
        <f t="shared" si="5"/>
        <v>0</v>
      </c>
      <c r="I64" s="501">
        <f t="shared" si="0"/>
        <v>0</v>
      </c>
      <c r="J64" s="501"/>
      <c r="K64" s="513"/>
      <c r="L64" s="505">
        <f t="shared" si="6"/>
        <v>0</v>
      </c>
      <c r="M64" s="513"/>
      <c r="N64" s="505">
        <f t="shared" si="1"/>
        <v>0</v>
      </c>
      <c r="O64" s="505">
        <f t="shared" si="2"/>
        <v>0</v>
      </c>
      <c r="P64" s="279"/>
      <c r="R64" s="244"/>
      <c r="S64" s="244"/>
      <c r="T64" s="244"/>
      <c r="U64" s="244"/>
    </row>
    <row r="65" spans="2:21" ht="12.5">
      <c r="C65" s="496">
        <f>IF(D11="","-",+C64+1)</f>
        <v>2064</v>
      </c>
      <c r="D65" s="511">
        <f>IF(F64+SUM(E$17:E64)=D$10,F64,D$10-SUM(E$17:E64))</f>
        <v>0</v>
      </c>
      <c r="E65" s="510">
        <f>IF(+I14&lt;F64,I14,D65)</f>
        <v>0</v>
      </c>
      <c r="F65" s="511">
        <f t="shared" si="3"/>
        <v>0</v>
      </c>
      <c r="G65" s="512">
        <f t="shared" si="4"/>
        <v>0</v>
      </c>
      <c r="H65" s="478">
        <f t="shared" si="5"/>
        <v>0</v>
      </c>
      <c r="I65" s="501">
        <f t="shared" si="0"/>
        <v>0</v>
      </c>
      <c r="J65" s="501"/>
      <c r="K65" s="513"/>
      <c r="L65" s="505">
        <f t="shared" si="6"/>
        <v>0</v>
      </c>
      <c r="M65" s="513"/>
      <c r="N65" s="505">
        <f t="shared" si="1"/>
        <v>0</v>
      </c>
      <c r="O65" s="505">
        <f t="shared" si="2"/>
        <v>0</v>
      </c>
      <c r="P65" s="279"/>
      <c r="R65" s="244"/>
      <c r="S65" s="244"/>
      <c r="T65" s="244"/>
      <c r="U65" s="244"/>
    </row>
    <row r="66" spans="2:21" ht="12.5">
      <c r="C66" s="496">
        <f>IF(D11="","-",+C65+1)</f>
        <v>2065</v>
      </c>
      <c r="D66" s="511">
        <f>IF(F65+SUM(E$17:E65)=D$10,F65,D$10-SUM(E$17:E65))</f>
        <v>0</v>
      </c>
      <c r="E66" s="510">
        <f>IF(+I14&lt;F65,I14,D66)</f>
        <v>0</v>
      </c>
      <c r="F66" s="511">
        <f t="shared" si="3"/>
        <v>0</v>
      </c>
      <c r="G66" s="512">
        <f t="shared" si="4"/>
        <v>0</v>
      </c>
      <c r="H66" s="478">
        <f t="shared" si="5"/>
        <v>0</v>
      </c>
      <c r="I66" s="501">
        <f t="shared" si="0"/>
        <v>0</v>
      </c>
      <c r="J66" s="501"/>
      <c r="K66" s="513"/>
      <c r="L66" s="505">
        <f t="shared" si="6"/>
        <v>0</v>
      </c>
      <c r="M66" s="513"/>
      <c r="N66" s="505">
        <f t="shared" si="1"/>
        <v>0</v>
      </c>
      <c r="O66" s="505">
        <f t="shared" si="2"/>
        <v>0</v>
      </c>
      <c r="P66" s="279"/>
      <c r="R66" s="244"/>
      <c r="S66" s="244"/>
      <c r="T66" s="244"/>
      <c r="U66" s="244"/>
    </row>
    <row r="67" spans="2:21" ht="12.5">
      <c r="C67" s="496">
        <f>IF(D11="","-",+C66+1)</f>
        <v>2066</v>
      </c>
      <c r="D67" s="511">
        <f>IF(F66+SUM(E$17:E66)=D$10,F66,D$10-SUM(E$17:E66))</f>
        <v>0</v>
      </c>
      <c r="E67" s="510">
        <f>IF(+I14&lt;F66,I14,D67)</f>
        <v>0</v>
      </c>
      <c r="F67" s="511">
        <f t="shared" si="3"/>
        <v>0</v>
      </c>
      <c r="G67" s="512">
        <f t="shared" si="4"/>
        <v>0</v>
      </c>
      <c r="H67" s="478">
        <f t="shared" si="5"/>
        <v>0</v>
      </c>
      <c r="I67" s="501">
        <f t="shared" si="0"/>
        <v>0</v>
      </c>
      <c r="J67" s="501"/>
      <c r="K67" s="513"/>
      <c r="L67" s="505">
        <f t="shared" si="6"/>
        <v>0</v>
      </c>
      <c r="M67" s="513"/>
      <c r="N67" s="505">
        <f t="shared" si="1"/>
        <v>0</v>
      </c>
      <c r="O67" s="505">
        <f t="shared" si="2"/>
        <v>0</v>
      </c>
      <c r="P67" s="279"/>
      <c r="R67" s="244"/>
      <c r="S67" s="244"/>
      <c r="T67" s="244"/>
      <c r="U67" s="244"/>
    </row>
    <row r="68" spans="2:21" ht="12.5">
      <c r="C68" s="496">
        <f>IF(D11="","-",+C67+1)</f>
        <v>2067</v>
      </c>
      <c r="D68" s="511">
        <f>IF(F67+SUM(E$17:E67)=D$10,F67,D$10-SUM(E$17:E67))</f>
        <v>0</v>
      </c>
      <c r="E68" s="510">
        <f>IF(+I14&lt;F67,I14,D68)</f>
        <v>0</v>
      </c>
      <c r="F68" s="511">
        <f t="shared" si="3"/>
        <v>0</v>
      </c>
      <c r="G68" s="512">
        <f t="shared" si="4"/>
        <v>0</v>
      </c>
      <c r="H68" s="478">
        <f t="shared" si="5"/>
        <v>0</v>
      </c>
      <c r="I68" s="501">
        <f t="shared" si="0"/>
        <v>0</v>
      </c>
      <c r="J68" s="501"/>
      <c r="K68" s="513"/>
      <c r="L68" s="505">
        <f t="shared" si="6"/>
        <v>0</v>
      </c>
      <c r="M68" s="513"/>
      <c r="N68" s="505">
        <f t="shared" si="1"/>
        <v>0</v>
      </c>
      <c r="O68" s="505">
        <f t="shared" si="2"/>
        <v>0</v>
      </c>
      <c r="P68" s="279"/>
      <c r="R68" s="244"/>
      <c r="S68" s="244"/>
      <c r="T68" s="244"/>
      <c r="U68" s="244"/>
    </row>
    <row r="69" spans="2:21" ht="12.5">
      <c r="C69" s="496">
        <f>IF(D11="","-",+C68+1)</f>
        <v>2068</v>
      </c>
      <c r="D69" s="511">
        <f>IF(F68+SUM(E$17:E68)=D$10,F68,D$10-SUM(E$17:E68))</f>
        <v>0</v>
      </c>
      <c r="E69" s="510">
        <f>IF(+I14&lt;F68,I14,D69)</f>
        <v>0</v>
      </c>
      <c r="F69" s="511">
        <f t="shared" si="3"/>
        <v>0</v>
      </c>
      <c r="G69" s="512">
        <f t="shared" si="4"/>
        <v>0</v>
      </c>
      <c r="H69" s="478">
        <f t="shared" si="5"/>
        <v>0</v>
      </c>
      <c r="I69" s="501">
        <f t="shared" si="0"/>
        <v>0</v>
      </c>
      <c r="J69" s="501"/>
      <c r="K69" s="513"/>
      <c r="L69" s="505">
        <f t="shared" si="6"/>
        <v>0</v>
      </c>
      <c r="M69" s="513"/>
      <c r="N69" s="505">
        <f t="shared" si="1"/>
        <v>0</v>
      </c>
      <c r="O69" s="505">
        <f t="shared" si="2"/>
        <v>0</v>
      </c>
      <c r="P69" s="279"/>
      <c r="R69" s="244"/>
      <c r="S69" s="244"/>
      <c r="T69" s="244"/>
      <c r="U69" s="244"/>
    </row>
    <row r="70" spans="2:21" ht="12.5">
      <c r="C70" s="496">
        <f>IF(D11="","-",+C69+1)</f>
        <v>2069</v>
      </c>
      <c r="D70" s="511">
        <f>IF(F69+SUM(E$17:E69)=D$10,F69,D$10-SUM(E$17:E69))</f>
        <v>0</v>
      </c>
      <c r="E70" s="510">
        <f>IF(+I14&lt;F69,I14,D70)</f>
        <v>0</v>
      </c>
      <c r="F70" s="511">
        <f t="shared" si="3"/>
        <v>0</v>
      </c>
      <c r="G70" s="512">
        <f t="shared" si="4"/>
        <v>0</v>
      </c>
      <c r="H70" s="478">
        <f t="shared" si="5"/>
        <v>0</v>
      </c>
      <c r="I70" s="501">
        <f t="shared" si="0"/>
        <v>0</v>
      </c>
      <c r="J70" s="501"/>
      <c r="K70" s="513"/>
      <c r="L70" s="505">
        <f t="shared" si="6"/>
        <v>0</v>
      </c>
      <c r="M70" s="513"/>
      <c r="N70" s="505">
        <f t="shared" si="1"/>
        <v>0</v>
      </c>
      <c r="O70" s="505">
        <f t="shared" si="2"/>
        <v>0</v>
      </c>
      <c r="P70" s="279"/>
      <c r="R70" s="244"/>
      <c r="S70" s="244"/>
      <c r="T70" s="244"/>
      <c r="U70" s="244"/>
    </row>
    <row r="71" spans="2:21" ht="12.5">
      <c r="C71" s="496">
        <f>IF(D11="","-",+C70+1)</f>
        <v>2070</v>
      </c>
      <c r="D71" s="511">
        <f>IF(F70+SUM(E$17:E70)=D$10,F70,D$10-SUM(E$17:E70))</f>
        <v>0</v>
      </c>
      <c r="E71" s="510">
        <f>IF(+I14&lt;F70,I14,D71)</f>
        <v>0</v>
      </c>
      <c r="F71" s="511">
        <f t="shared" si="3"/>
        <v>0</v>
      </c>
      <c r="G71" s="512">
        <f t="shared" si="4"/>
        <v>0</v>
      </c>
      <c r="H71" s="478">
        <f t="shared" si="5"/>
        <v>0</v>
      </c>
      <c r="I71" s="501">
        <f t="shared" si="0"/>
        <v>0</v>
      </c>
      <c r="J71" s="501"/>
      <c r="K71" s="513"/>
      <c r="L71" s="505">
        <f t="shared" si="6"/>
        <v>0</v>
      </c>
      <c r="M71" s="513"/>
      <c r="N71" s="505">
        <f t="shared" si="1"/>
        <v>0</v>
      </c>
      <c r="O71" s="505">
        <f t="shared" si="2"/>
        <v>0</v>
      </c>
      <c r="P71" s="279"/>
      <c r="R71" s="244"/>
      <c r="S71" s="244"/>
      <c r="T71" s="244"/>
      <c r="U71" s="244"/>
    </row>
    <row r="72" spans="2:21" ht="12.5">
      <c r="C72" s="496">
        <f>IF(D11="","-",+C71+1)</f>
        <v>2071</v>
      </c>
      <c r="D72" s="511">
        <f>IF(F71+SUM(E$17:E71)=D$10,F71,D$10-SUM(E$17:E71))</f>
        <v>0</v>
      </c>
      <c r="E72" s="510">
        <f>IF(+I14&lt;F71,I14,D72)</f>
        <v>0</v>
      </c>
      <c r="F72" s="511">
        <f t="shared" si="3"/>
        <v>0</v>
      </c>
      <c r="G72" s="512">
        <f t="shared" si="4"/>
        <v>0</v>
      </c>
      <c r="H72" s="478">
        <f t="shared" si="5"/>
        <v>0</v>
      </c>
      <c r="I72" s="501">
        <f t="shared" si="0"/>
        <v>0</v>
      </c>
      <c r="J72" s="501"/>
      <c r="K72" s="513"/>
      <c r="L72" s="505">
        <f t="shared" si="6"/>
        <v>0</v>
      </c>
      <c r="M72" s="513"/>
      <c r="N72" s="505">
        <f t="shared" si="1"/>
        <v>0</v>
      </c>
      <c r="O72" s="505">
        <f t="shared" si="2"/>
        <v>0</v>
      </c>
      <c r="P72" s="279"/>
      <c r="R72" s="244"/>
      <c r="S72" s="244"/>
      <c r="T72" s="244"/>
      <c r="U72" s="244"/>
    </row>
    <row r="73" spans="2:21" ht="13" thickBot="1">
      <c r="C73" s="525">
        <f>IF(D11="","-",+C72+1)</f>
        <v>2072</v>
      </c>
      <c r="D73" s="528">
        <f>IF(F72+SUM(E$17:E72)=D$10,F72,D$10-SUM(E$17:E72))</f>
        <v>0</v>
      </c>
      <c r="E73" s="527">
        <f>IF(+I14&lt;F72,I14,D73)</f>
        <v>0</v>
      </c>
      <c r="F73" s="528">
        <f t="shared" si="3"/>
        <v>0</v>
      </c>
      <c r="G73" s="528">
        <f t="shared" si="4"/>
        <v>0</v>
      </c>
      <c r="H73" s="528">
        <f t="shared" si="5"/>
        <v>0</v>
      </c>
      <c r="I73" s="530">
        <f t="shared" si="0"/>
        <v>0</v>
      </c>
      <c r="J73" s="501"/>
      <c r="K73" s="531"/>
      <c r="L73" s="532">
        <f t="shared" si="6"/>
        <v>0</v>
      </c>
      <c r="M73" s="531"/>
      <c r="N73" s="532">
        <f t="shared" si="1"/>
        <v>0</v>
      </c>
      <c r="O73" s="532">
        <f t="shared" si="2"/>
        <v>0</v>
      </c>
      <c r="P73" s="279"/>
      <c r="R73" s="244"/>
      <c r="S73" s="244"/>
      <c r="T73" s="244"/>
      <c r="U73" s="244"/>
    </row>
    <row r="74" spans="2:21" ht="12.5">
      <c r="C74" s="350" t="s">
        <v>75</v>
      </c>
      <c r="D74" s="295"/>
      <c r="E74" s="295">
        <f>SUM(E17:E73)</f>
        <v>68247469</v>
      </c>
      <c r="F74" s="295"/>
      <c r="G74" s="295">
        <f>SUM(G17:G73)</f>
        <v>230095404.42586592</v>
      </c>
      <c r="H74" s="295">
        <f>SUM(H17:H73)</f>
        <v>230095404.42586592</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439" t="str">
        <f ca="1">P1</f>
        <v>OKT Project 14 of 19</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2019</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8806008.9305919912</v>
      </c>
      <c r="N88" s="545">
        <f>IF(J93&lt;D11,0,VLOOKUP(J93,C17:O73,11))</f>
        <v>8806008.9305919912</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8756000.6521390192</v>
      </c>
      <c r="N89" s="549">
        <f>IF(J93&lt;D11,0,VLOOKUP(J93,C100:P155,7))</f>
        <v>8756000.6521390192</v>
      </c>
      <c r="O89" s="550">
        <f>+N89-M89</f>
        <v>0</v>
      </c>
      <c r="P89" s="244"/>
      <c r="Q89" s="244"/>
      <c r="R89" s="244"/>
      <c r="S89" s="244"/>
      <c r="T89" s="244"/>
      <c r="U89" s="244"/>
    </row>
    <row r="90" spans="1:21" ht="13.5" thickBot="1">
      <c r="C90" s="455" t="s">
        <v>82</v>
      </c>
      <c r="D90" s="551" t="str">
        <f>+D7</f>
        <v>Valliant-NW Texarkana 345 kV</v>
      </c>
      <c r="E90" s="244"/>
      <c r="F90" s="244"/>
      <c r="G90" s="244"/>
      <c r="H90" s="244"/>
      <c r="I90" s="326"/>
      <c r="J90" s="326"/>
      <c r="K90" s="552"/>
      <c r="L90" s="553" t="s">
        <v>135</v>
      </c>
      <c r="M90" s="554">
        <f>+M89-M88</f>
        <v>-50008.27845297195</v>
      </c>
      <c r="N90" s="554">
        <f>+N89-N88</f>
        <v>-50008.27845297195</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 2009089</v>
      </c>
      <c r="E92" s="559"/>
      <c r="F92" s="559"/>
      <c r="G92" s="559"/>
      <c r="H92" s="559"/>
      <c r="I92" s="559"/>
      <c r="J92" s="559"/>
      <c r="K92" s="561"/>
      <c r="P92" s="469"/>
      <c r="Q92" s="244"/>
      <c r="R92" s="244"/>
      <c r="S92" s="244"/>
      <c r="T92" s="244"/>
      <c r="U92" s="244"/>
    </row>
    <row r="93" spans="1:21" ht="13">
      <c r="C93" s="473" t="s">
        <v>49</v>
      </c>
      <c r="D93" s="471">
        <v>68247469</v>
      </c>
      <c r="E93" s="249" t="s">
        <v>84</v>
      </c>
      <c r="H93" s="409"/>
      <c r="I93" s="409"/>
      <c r="J93" s="472">
        <f>+'OKT.WS.G.BPU.ATRR.True-up'!M16</f>
        <v>2019</v>
      </c>
      <c r="K93" s="468"/>
      <c r="L93" s="295" t="s">
        <v>85</v>
      </c>
      <c r="P93" s="279"/>
      <c r="Q93" s="244"/>
      <c r="R93" s="244"/>
      <c r="S93" s="244"/>
      <c r="T93" s="244"/>
      <c r="U93" s="244"/>
    </row>
    <row r="94" spans="1:21" ht="12.5">
      <c r="C94" s="473" t="s">
        <v>52</v>
      </c>
      <c r="D94" s="562">
        <f>IF(D11=I10,"",D11)</f>
        <v>2016</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83">
        <f>IF(D11=I10,"",D12)</f>
        <v>12</v>
      </c>
      <c r="E95" s="473" t="s">
        <v>55</v>
      </c>
      <c r="F95" s="409"/>
      <c r="G95" s="409"/>
      <c r="J95" s="477">
        <f>'OKT.WS.G.BPU.ATRR.True-up'!$F$81</f>
        <v>0.10800922592579221</v>
      </c>
      <c r="K95" s="414"/>
      <c r="L95" s="145" t="s">
        <v>86</v>
      </c>
      <c r="P95" s="279"/>
      <c r="Q95" s="244"/>
      <c r="R95" s="244"/>
      <c r="S95" s="244"/>
      <c r="T95" s="244"/>
      <c r="U95" s="244"/>
    </row>
    <row r="96" spans="1:21" ht="12.5">
      <c r="C96" s="473" t="s">
        <v>57</v>
      </c>
      <c r="D96" s="475">
        <f>'OKT.WS.G.BPU.ATRR.True-up'!F$93</f>
        <v>33</v>
      </c>
      <c r="E96" s="473" t="s">
        <v>58</v>
      </c>
      <c r="F96" s="409"/>
      <c r="G96" s="409"/>
      <c r="J96" s="477">
        <f>IF(H88="",J95,'OKT.WS.G.BPU.ATRR.True-up'!$F$80)</f>
        <v>0.10800922592579221</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2068105.1212121211</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C100" s="496">
        <f>IF(D94= "","-",D94)</f>
        <v>2016</v>
      </c>
      <c r="D100" s="497">
        <v>0</v>
      </c>
      <c r="E100" s="499">
        <v>1692714.9</v>
      </c>
      <c r="F100" s="506">
        <v>67708596</v>
      </c>
      <c r="G100" s="506">
        <v>33854298</v>
      </c>
      <c r="H100" s="499">
        <v>3668771.9731289423</v>
      </c>
      <c r="I100" s="500">
        <v>3668771.9731289423</v>
      </c>
      <c r="J100" s="505">
        <f t="shared" ref="J100:J131" si="7">+I100-H100</f>
        <v>0</v>
      </c>
      <c r="K100" s="505"/>
      <c r="L100" s="607">
        <f>+H100</f>
        <v>3668771.9731289423</v>
      </c>
      <c r="M100" s="504">
        <f t="shared" ref="M100:M131" si="8">IF(L100&lt;&gt;0,+H100-L100,0)</f>
        <v>0</v>
      </c>
      <c r="N100" s="607">
        <f>+I100</f>
        <v>3668771.9731289423</v>
      </c>
      <c r="O100" s="504">
        <f t="shared" ref="O100:O131" si="9">IF(N100&lt;&gt;0,+I100-N100,0)</f>
        <v>0</v>
      </c>
      <c r="P100" s="504">
        <f t="shared" ref="P100:P131" si="10">+O100-M100</f>
        <v>0</v>
      </c>
      <c r="Q100" s="244"/>
      <c r="R100" s="244"/>
      <c r="S100" s="244"/>
      <c r="T100" s="244"/>
      <c r="U100" s="244"/>
    </row>
    <row r="101" spans="1:21" ht="12.5">
      <c r="C101" s="496">
        <f>IF(D94="","-",+C100+1)</f>
        <v>2017</v>
      </c>
      <c r="D101" s="497">
        <v>66537373.100000001</v>
      </c>
      <c r="E101" s="499">
        <v>1705752.2</v>
      </c>
      <c r="F101" s="506">
        <v>64831620.899999999</v>
      </c>
      <c r="G101" s="506">
        <v>65684497</v>
      </c>
      <c r="H101" s="499">
        <v>9412899.4207950477</v>
      </c>
      <c r="I101" s="500">
        <v>9412899.4207950477</v>
      </c>
      <c r="J101" s="505">
        <f t="shared" si="7"/>
        <v>0</v>
      </c>
      <c r="K101" s="505"/>
      <c r="L101" s="507">
        <f>H101</f>
        <v>9412899.4207950477</v>
      </c>
      <c r="M101" s="505">
        <f>IF(L101&lt;&gt;0,+H101-L101,0)</f>
        <v>0</v>
      </c>
      <c r="N101" s="507">
        <f>I101</f>
        <v>9412899.4207950477</v>
      </c>
      <c r="O101" s="505">
        <f>IF(N101&lt;&gt;0,+I101-N101,0)</f>
        <v>0</v>
      </c>
      <c r="P101" s="505">
        <f>+O101-M101</f>
        <v>0</v>
      </c>
      <c r="Q101" s="244"/>
      <c r="R101" s="244"/>
      <c r="S101" s="244"/>
      <c r="T101" s="244"/>
      <c r="U101" s="244"/>
    </row>
    <row r="102" spans="1:21" ht="12.5">
      <c r="C102" s="496">
        <f>IF(D94="","-",+C101+1)</f>
        <v>2018</v>
      </c>
      <c r="D102" s="497">
        <v>64831620.899999999</v>
      </c>
      <c r="E102" s="499">
        <v>1895280.2222222222</v>
      </c>
      <c r="F102" s="506">
        <v>62936340.677777775</v>
      </c>
      <c r="G102" s="506">
        <v>63883980.788888887</v>
      </c>
      <c r="H102" s="499">
        <v>8639029.6924960874</v>
      </c>
      <c r="I102" s="500">
        <v>8639029.6924960874</v>
      </c>
      <c r="J102" s="505">
        <f t="shared" si="7"/>
        <v>0</v>
      </c>
      <c r="K102" s="505"/>
      <c r="L102" s="513"/>
      <c r="M102" s="505">
        <f t="shared" si="8"/>
        <v>0</v>
      </c>
      <c r="N102" s="513"/>
      <c r="O102" s="505">
        <f t="shared" si="9"/>
        <v>0</v>
      </c>
      <c r="P102" s="505">
        <f t="shared" si="10"/>
        <v>0</v>
      </c>
      <c r="Q102" s="244"/>
      <c r="R102" s="244"/>
      <c r="S102" s="244"/>
      <c r="T102" s="244"/>
      <c r="U102" s="244"/>
    </row>
    <row r="103" spans="1:21" ht="12.5">
      <c r="C103" s="496">
        <f>IF(D94="","-",+C102+1)</f>
        <v>2019</v>
      </c>
      <c r="D103" s="350">
        <f>IF(F102+SUM(E$100:E102)=D$93,F102,D$93-SUM(E$100:E102))</f>
        <v>62953721.677777782</v>
      </c>
      <c r="E103" s="510">
        <f>IF(+J97&lt;F102,J97,D103)</f>
        <v>2068105.1212121211</v>
      </c>
      <c r="F103" s="511">
        <f t="shared" ref="F103:F131" si="11">+D103-E103</f>
        <v>60885616.556565657</v>
      </c>
      <c r="G103" s="511">
        <f t="shared" ref="G103:G131" si="12">+(F103+D103)/2</f>
        <v>61919669.11717172</v>
      </c>
      <c r="H103" s="628">
        <f t="shared" ref="H103:H155" si="13">+J$95*G103+E103</f>
        <v>8756000.6521390192</v>
      </c>
      <c r="I103" s="629">
        <f t="shared" ref="I103:I155" si="14">+J$96*G103+E103</f>
        <v>8756000.6521390192</v>
      </c>
      <c r="J103" s="505">
        <f t="shared" si="7"/>
        <v>0</v>
      </c>
      <c r="K103" s="505"/>
      <c r="L103" s="513"/>
      <c r="M103" s="505">
        <f t="shared" si="8"/>
        <v>0</v>
      </c>
      <c r="N103" s="513"/>
      <c r="O103" s="505">
        <f t="shared" si="9"/>
        <v>0</v>
      </c>
      <c r="P103" s="505">
        <f t="shared" si="10"/>
        <v>0</v>
      </c>
      <c r="Q103" s="244"/>
      <c r="R103" s="244"/>
      <c r="S103" s="244"/>
      <c r="T103" s="244"/>
      <c r="U103" s="244"/>
    </row>
    <row r="104" spans="1:21" ht="12.5">
      <c r="C104" s="496">
        <f>IF(D94="","-",+C103+1)</f>
        <v>2020</v>
      </c>
      <c r="D104" s="350">
        <f>IF(F103+SUM(E$100:E103)=D$93,F103,D$93-SUM(E$100:E103))</f>
        <v>60885616.556565657</v>
      </c>
      <c r="E104" s="510">
        <f>IF(+J97&lt;F103,J97,D104)</f>
        <v>2068105.1212121211</v>
      </c>
      <c r="F104" s="511">
        <f t="shared" si="11"/>
        <v>58817511.435353532</v>
      </c>
      <c r="G104" s="511">
        <f t="shared" si="12"/>
        <v>59851563.995959595</v>
      </c>
      <c r="H104" s="628">
        <f t="shared" si="13"/>
        <v>8532626.2188637313</v>
      </c>
      <c r="I104" s="629">
        <f t="shared" si="14"/>
        <v>8532626.2188637313</v>
      </c>
      <c r="J104" s="505">
        <f t="shared" si="7"/>
        <v>0</v>
      </c>
      <c r="K104" s="505"/>
      <c r="L104" s="513"/>
      <c r="M104" s="505">
        <f t="shared" si="8"/>
        <v>0</v>
      </c>
      <c r="N104" s="513"/>
      <c r="O104" s="505">
        <f t="shared" si="9"/>
        <v>0</v>
      </c>
      <c r="P104" s="505">
        <f t="shared" si="10"/>
        <v>0</v>
      </c>
      <c r="Q104" s="244"/>
      <c r="R104" s="244"/>
      <c r="S104" s="244"/>
      <c r="T104" s="244"/>
      <c r="U104" s="244"/>
    </row>
    <row r="105" spans="1:21" ht="12.5">
      <c r="C105" s="496">
        <f>IF(D94="","-",+C104+1)</f>
        <v>2021</v>
      </c>
      <c r="D105" s="350">
        <f>IF(F104+SUM(E$100:E104)=D$93,F104,D$93-SUM(E$100:E104))</f>
        <v>58817511.435353532</v>
      </c>
      <c r="E105" s="510">
        <f>IF(+J97&lt;F104,J97,D105)</f>
        <v>2068105.1212121211</v>
      </c>
      <c r="F105" s="511">
        <f t="shared" si="11"/>
        <v>56749406.314141408</v>
      </c>
      <c r="G105" s="511">
        <f t="shared" si="12"/>
        <v>57783458.87474747</v>
      </c>
      <c r="H105" s="628">
        <f t="shared" si="13"/>
        <v>8309251.7855884433</v>
      </c>
      <c r="I105" s="629">
        <f t="shared" si="14"/>
        <v>8309251.7855884433</v>
      </c>
      <c r="J105" s="505">
        <f t="shared" si="7"/>
        <v>0</v>
      </c>
      <c r="K105" s="505"/>
      <c r="L105" s="513"/>
      <c r="M105" s="505">
        <f t="shared" si="8"/>
        <v>0</v>
      </c>
      <c r="N105" s="513"/>
      <c r="O105" s="505">
        <f t="shared" si="9"/>
        <v>0</v>
      </c>
      <c r="P105" s="505">
        <f t="shared" si="10"/>
        <v>0</v>
      </c>
      <c r="Q105" s="244"/>
      <c r="R105" s="244"/>
      <c r="S105" s="244"/>
      <c r="T105" s="244"/>
      <c r="U105" s="244"/>
    </row>
    <row r="106" spans="1:21" ht="12.5">
      <c r="C106" s="496">
        <f>IF(D94="","-",+C105+1)</f>
        <v>2022</v>
      </c>
      <c r="D106" s="350">
        <f>IF(F105+SUM(E$100:E105)=D$93,F105,D$93-SUM(E$100:E105))</f>
        <v>56749406.314141408</v>
      </c>
      <c r="E106" s="510">
        <f>IF(+J97&lt;F105,J97,D106)</f>
        <v>2068105.1212121211</v>
      </c>
      <c r="F106" s="511">
        <f t="shared" si="11"/>
        <v>54681301.192929283</v>
      </c>
      <c r="G106" s="511">
        <f t="shared" si="12"/>
        <v>55715353.753535345</v>
      </c>
      <c r="H106" s="628">
        <f t="shared" si="13"/>
        <v>8085877.3523131553</v>
      </c>
      <c r="I106" s="629">
        <f t="shared" si="14"/>
        <v>8085877.3523131553</v>
      </c>
      <c r="J106" s="505">
        <f t="shared" si="7"/>
        <v>0</v>
      </c>
      <c r="K106" s="505"/>
      <c r="L106" s="513"/>
      <c r="M106" s="505">
        <f t="shared" si="8"/>
        <v>0</v>
      </c>
      <c r="N106" s="513"/>
      <c r="O106" s="505">
        <f t="shared" si="9"/>
        <v>0</v>
      </c>
      <c r="P106" s="505">
        <f t="shared" si="10"/>
        <v>0</v>
      </c>
      <c r="Q106" s="244"/>
      <c r="R106" s="244"/>
      <c r="S106" s="244"/>
      <c r="T106" s="244"/>
      <c r="U106" s="244"/>
    </row>
    <row r="107" spans="1:21" ht="12.5">
      <c r="C107" s="496">
        <f>IF(D94="","-",+C106+1)</f>
        <v>2023</v>
      </c>
      <c r="D107" s="350">
        <f>IF(F106+SUM(E$100:E106)=D$93,F106,D$93-SUM(E$100:E106))</f>
        <v>54681301.192929283</v>
      </c>
      <c r="E107" s="510">
        <f>IF(+J97&lt;F106,J97,D107)</f>
        <v>2068105.1212121211</v>
      </c>
      <c r="F107" s="511">
        <f t="shared" si="11"/>
        <v>52613196.071717158</v>
      </c>
      <c r="G107" s="511">
        <f t="shared" si="12"/>
        <v>53647248.63232322</v>
      </c>
      <c r="H107" s="628">
        <f t="shared" si="13"/>
        <v>7862502.9190378664</v>
      </c>
      <c r="I107" s="629">
        <f t="shared" si="14"/>
        <v>7862502.9190378664</v>
      </c>
      <c r="J107" s="505">
        <f t="shared" si="7"/>
        <v>0</v>
      </c>
      <c r="K107" s="505"/>
      <c r="L107" s="513"/>
      <c r="M107" s="505">
        <f t="shared" si="8"/>
        <v>0</v>
      </c>
      <c r="N107" s="513"/>
      <c r="O107" s="505">
        <f t="shared" si="9"/>
        <v>0</v>
      </c>
      <c r="P107" s="505">
        <f t="shared" si="10"/>
        <v>0</v>
      </c>
      <c r="Q107" s="244"/>
      <c r="R107" s="244"/>
      <c r="S107" s="244"/>
      <c r="T107" s="244"/>
      <c r="U107" s="244"/>
    </row>
    <row r="108" spans="1:21" ht="12.5">
      <c r="C108" s="496">
        <f>IF(D94="","-",+C107+1)</f>
        <v>2024</v>
      </c>
      <c r="D108" s="350">
        <f>IF(F107+SUM(E$100:E107)=D$93,F107,D$93-SUM(E$100:E107))</f>
        <v>52613196.071717158</v>
      </c>
      <c r="E108" s="510">
        <f>IF(+J97&lt;F107,J97,D108)</f>
        <v>2068105.1212121211</v>
      </c>
      <c r="F108" s="511">
        <f t="shared" si="11"/>
        <v>50545090.950505033</v>
      </c>
      <c r="G108" s="511">
        <f t="shared" si="12"/>
        <v>51579143.511111096</v>
      </c>
      <c r="H108" s="628">
        <f t="shared" si="13"/>
        <v>7639128.4857625784</v>
      </c>
      <c r="I108" s="629">
        <f t="shared" si="14"/>
        <v>7639128.4857625784</v>
      </c>
      <c r="J108" s="505">
        <f t="shared" si="7"/>
        <v>0</v>
      </c>
      <c r="K108" s="505"/>
      <c r="L108" s="513"/>
      <c r="M108" s="505">
        <f t="shared" si="8"/>
        <v>0</v>
      </c>
      <c r="N108" s="513"/>
      <c r="O108" s="505">
        <f t="shared" si="9"/>
        <v>0</v>
      </c>
      <c r="P108" s="505">
        <f t="shared" si="10"/>
        <v>0</v>
      </c>
      <c r="Q108" s="244"/>
      <c r="R108" s="244"/>
      <c r="S108" s="244"/>
      <c r="T108" s="244"/>
      <c r="U108" s="244"/>
    </row>
    <row r="109" spans="1:21" ht="12.5">
      <c r="C109" s="496">
        <f>IF(D94="","-",+C108+1)</f>
        <v>2025</v>
      </c>
      <c r="D109" s="350">
        <f>IF(F108+SUM(E$100:E108)=D$93,F108,D$93-SUM(E$100:E108))</f>
        <v>50545090.950505033</v>
      </c>
      <c r="E109" s="510">
        <f>IF(+J97&lt;F108,J97,D109)</f>
        <v>2068105.1212121211</v>
      </c>
      <c r="F109" s="511">
        <f t="shared" si="11"/>
        <v>48476985.829292908</v>
      </c>
      <c r="G109" s="511">
        <f t="shared" si="12"/>
        <v>49511038.389898971</v>
      </c>
      <c r="H109" s="628">
        <f t="shared" si="13"/>
        <v>7415754.0524872905</v>
      </c>
      <c r="I109" s="629">
        <f t="shared" si="14"/>
        <v>7415754.0524872905</v>
      </c>
      <c r="J109" s="505">
        <f t="shared" si="7"/>
        <v>0</v>
      </c>
      <c r="K109" s="505"/>
      <c r="L109" s="513"/>
      <c r="M109" s="505">
        <f t="shared" si="8"/>
        <v>0</v>
      </c>
      <c r="N109" s="513"/>
      <c r="O109" s="505">
        <f t="shared" si="9"/>
        <v>0</v>
      </c>
      <c r="P109" s="505">
        <f t="shared" si="10"/>
        <v>0</v>
      </c>
      <c r="Q109" s="244"/>
      <c r="R109" s="244"/>
      <c r="S109" s="244"/>
      <c r="T109" s="244"/>
      <c r="U109" s="244"/>
    </row>
    <row r="110" spans="1:21" ht="12.5">
      <c r="C110" s="496">
        <f>IF(D94="","-",+C109+1)</f>
        <v>2026</v>
      </c>
      <c r="D110" s="350">
        <f>IF(F109+SUM(E$100:E109)=D$93,F109,D$93-SUM(E$100:E109))</f>
        <v>48476985.829292908</v>
      </c>
      <c r="E110" s="510">
        <f>IF(+J97&lt;F109,J97,D110)</f>
        <v>2068105.1212121211</v>
      </c>
      <c r="F110" s="511">
        <f t="shared" si="11"/>
        <v>46408880.708080783</v>
      </c>
      <c r="G110" s="511">
        <f t="shared" si="12"/>
        <v>47442933.268686846</v>
      </c>
      <c r="H110" s="628">
        <f t="shared" si="13"/>
        <v>7192379.6192120016</v>
      </c>
      <c r="I110" s="629">
        <f t="shared" si="14"/>
        <v>7192379.6192120016</v>
      </c>
      <c r="J110" s="505">
        <f t="shared" si="7"/>
        <v>0</v>
      </c>
      <c r="K110" s="505"/>
      <c r="L110" s="513"/>
      <c r="M110" s="505">
        <f t="shared" si="8"/>
        <v>0</v>
      </c>
      <c r="N110" s="513"/>
      <c r="O110" s="505">
        <f t="shared" si="9"/>
        <v>0</v>
      </c>
      <c r="P110" s="505">
        <f t="shared" si="10"/>
        <v>0</v>
      </c>
      <c r="Q110" s="244"/>
      <c r="R110" s="244"/>
      <c r="S110" s="244"/>
      <c r="T110" s="244"/>
      <c r="U110" s="244"/>
    </row>
    <row r="111" spans="1:21" ht="12.5">
      <c r="C111" s="496">
        <f>IF(D94="","-",+C110+1)</f>
        <v>2027</v>
      </c>
      <c r="D111" s="350">
        <f>IF(F110+SUM(E$100:E110)=D$93,F110,D$93-SUM(E$100:E110))</f>
        <v>46408880.708080783</v>
      </c>
      <c r="E111" s="510">
        <f>IF(+J97&lt;F110,J97,D111)</f>
        <v>2068105.1212121211</v>
      </c>
      <c r="F111" s="511">
        <f t="shared" si="11"/>
        <v>44340775.586868659</v>
      </c>
      <c r="G111" s="511">
        <f t="shared" si="12"/>
        <v>45374828.147474721</v>
      </c>
      <c r="H111" s="628">
        <f t="shared" si="13"/>
        <v>6969005.1859367136</v>
      </c>
      <c r="I111" s="629">
        <f t="shared" si="14"/>
        <v>6969005.1859367136</v>
      </c>
      <c r="J111" s="505">
        <f t="shared" si="7"/>
        <v>0</v>
      </c>
      <c r="K111" s="505"/>
      <c r="L111" s="513"/>
      <c r="M111" s="505">
        <f t="shared" si="8"/>
        <v>0</v>
      </c>
      <c r="N111" s="513"/>
      <c r="O111" s="505">
        <f t="shared" si="9"/>
        <v>0</v>
      </c>
      <c r="P111" s="505">
        <f t="shared" si="10"/>
        <v>0</v>
      </c>
      <c r="Q111" s="244"/>
      <c r="R111" s="244"/>
      <c r="S111" s="244"/>
      <c r="T111" s="244"/>
      <c r="U111" s="244"/>
    </row>
    <row r="112" spans="1:21" ht="12.5">
      <c r="C112" s="496">
        <f>IF(D94="","-",+C111+1)</f>
        <v>2028</v>
      </c>
      <c r="D112" s="350">
        <f>IF(F111+SUM(E$100:E111)=D$93,F111,D$93-SUM(E$100:E111))</f>
        <v>44340775.586868659</v>
      </c>
      <c r="E112" s="510">
        <f>IF(+J97&lt;F111,J97,D112)</f>
        <v>2068105.1212121211</v>
      </c>
      <c r="F112" s="511">
        <f t="shared" si="11"/>
        <v>42272670.465656534</v>
      </c>
      <c r="G112" s="511">
        <f t="shared" si="12"/>
        <v>43306723.026262596</v>
      </c>
      <c r="H112" s="628">
        <f t="shared" si="13"/>
        <v>6745630.7526614256</v>
      </c>
      <c r="I112" s="629">
        <f t="shared" si="14"/>
        <v>6745630.7526614256</v>
      </c>
      <c r="J112" s="505">
        <f t="shared" si="7"/>
        <v>0</v>
      </c>
      <c r="K112" s="505"/>
      <c r="L112" s="513"/>
      <c r="M112" s="505">
        <f t="shared" si="8"/>
        <v>0</v>
      </c>
      <c r="N112" s="513"/>
      <c r="O112" s="505">
        <f t="shared" si="9"/>
        <v>0</v>
      </c>
      <c r="P112" s="505">
        <f t="shared" si="10"/>
        <v>0</v>
      </c>
      <c r="Q112" s="244"/>
      <c r="R112" s="244"/>
      <c r="S112" s="244"/>
      <c r="T112" s="244"/>
      <c r="U112" s="244"/>
    </row>
    <row r="113" spans="3:21" ht="12.5">
      <c r="C113" s="496">
        <f>IF(D94="","-",+C112+1)</f>
        <v>2029</v>
      </c>
      <c r="D113" s="350">
        <f>IF(F112+SUM(E$100:E112)=D$93,F112,D$93-SUM(E$100:E112))</f>
        <v>42272670.465656534</v>
      </c>
      <c r="E113" s="510">
        <f>IF(+J97&lt;F112,J97,D113)</f>
        <v>2068105.1212121211</v>
      </c>
      <c r="F113" s="511">
        <f t="shared" si="11"/>
        <v>40204565.344444409</v>
      </c>
      <c r="G113" s="511">
        <f t="shared" si="12"/>
        <v>41238617.905050471</v>
      </c>
      <c r="H113" s="628">
        <f t="shared" si="13"/>
        <v>6522256.3193861376</v>
      </c>
      <c r="I113" s="629">
        <f t="shared" si="14"/>
        <v>6522256.3193861376</v>
      </c>
      <c r="J113" s="505">
        <f t="shared" si="7"/>
        <v>0</v>
      </c>
      <c r="K113" s="505"/>
      <c r="L113" s="513"/>
      <c r="M113" s="505">
        <f t="shared" si="8"/>
        <v>0</v>
      </c>
      <c r="N113" s="513"/>
      <c r="O113" s="505">
        <f t="shared" si="9"/>
        <v>0</v>
      </c>
      <c r="P113" s="505">
        <f t="shared" si="10"/>
        <v>0</v>
      </c>
      <c r="Q113" s="244"/>
      <c r="R113" s="244"/>
      <c r="S113" s="244"/>
      <c r="T113" s="244"/>
      <c r="U113" s="244"/>
    </row>
    <row r="114" spans="3:21" ht="12.5">
      <c r="C114" s="496">
        <f>IF(D94="","-",+C113+1)</f>
        <v>2030</v>
      </c>
      <c r="D114" s="350">
        <f>IF(F113+SUM(E$100:E113)=D$93,F113,D$93-SUM(E$100:E113))</f>
        <v>40204565.344444409</v>
      </c>
      <c r="E114" s="510">
        <f>IF(+J97&lt;F113,J97,D114)</f>
        <v>2068105.1212121211</v>
      </c>
      <c r="F114" s="511">
        <f t="shared" si="11"/>
        <v>38136460.223232284</v>
      </c>
      <c r="G114" s="511">
        <f t="shared" si="12"/>
        <v>39170512.783838347</v>
      </c>
      <c r="H114" s="628">
        <f t="shared" si="13"/>
        <v>6298881.8861108487</v>
      </c>
      <c r="I114" s="629">
        <f t="shared" si="14"/>
        <v>6298881.8861108487</v>
      </c>
      <c r="J114" s="505">
        <f t="shared" si="7"/>
        <v>0</v>
      </c>
      <c r="K114" s="505"/>
      <c r="L114" s="513"/>
      <c r="M114" s="505">
        <f t="shared" si="8"/>
        <v>0</v>
      </c>
      <c r="N114" s="513"/>
      <c r="O114" s="505">
        <f t="shared" si="9"/>
        <v>0</v>
      </c>
      <c r="P114" s="505">
        <f t="shared" si="10"/>
        <v>0</v>
      </c>
      <c r="Q114" s="244"/>
      <c r="R114" s="244"/>
      <c r="S114" s="244"/>
      <c r="T114" s="244"/>
      <c r="U114" s="244"/>
    </row>
    <row r="115" spans="3:21" ht="12.5">
      <c r="C115" s="496">
        <f>IF(D94="","-",+C114+1)</f>
        <v>2031</v>
      </c>
      <c r="D115" s="350">
        <f>IF(F114+SUM(E$100:E114)=D$93,F114,D$93-SUM(E$100:E114))</f>
        <v>38136460.223232284</v>
      </c>
      <c r="E115" s="510">
        <f>IF(+J97&lt;F114,J97,D115)</f>
        <v>2068105.1212121211</v>
      </c>
      <c r="F115" s="511">
        <f t="shared" si="11"/>
        <v>36068355.102020159</v>
      </c>
      <c r="G115" s="511">
        <f t="shared" si="12"/>
        <v>37102407.662626222</v>
      </c>
      <c r="H115" s="628">
        <f t="shared" si="13"/>
        <v>6075507.4528355608</v>
      </c>
      <c r="I115" s="629">
        <f t="shared" si="14"/>
        <v>6075507.4528355608</v>
      </c>
      <c r="J115" s="505">
        <f t="shared" si="7"/>
        <v>0</v>
      </c>
      <c r="K115" s="505"/>
      <c r="L115" s="513"/>
      <c r="M115" s="505">
        <f t="shared" si="8"/>
        <v>0</v>
      </c>
      <c r="N115" s="513"/>
      <c r="O115" s="505">
        <f t="shared" si="9"/>
        <v>0</v>
      </c>
      <c r="P115" s="505">
        <f t="shared" si="10"/>
        <v>0</v>
      </c>
      <c r="Q115" s="244"/>
      <c r="R115" s="244"/>
      <c r="S115" s="244"/>
      <c r="T115" s="244"/>
      <c r="U115" s="244"/>
    </row>
    <row r="116" spans="3:21" ht="12.5">
      <c r="C116" s="496">
        <f>IF(D94="","-",+C115+1)</f>
        <v>2032</v>
      </c>
      <c r="D116" s="350">
        <f>IF(F115+SUM(E$100:E115)=D$93,F115,D$93-SUM(E$100:E115))</f>
        <v>36068355.102020159</v>
      </c>
      <c r="E116" s="510">
        <f>IF(+J97&lt;F115,J97,D116)</f>
        <v>2068105.1212121211</v>
      </c>
      <c r="F116" s="511">
        <f t="shared" si="11"/>
        <v>34000249.980808035</v>
      </c>
      <c r="G116" s="511">
        <f t="shared" si="12"/>
        <v>35034302.541414097</v>
      </c>
      <c r="H116" s="628">
        <f t="shared" si="13"/>
        <v>5852133.0195602719</v>
      </c>
      <c r="I116" s="629">
        <f t="shared" si="14"/>
        <v>5852133.0195602719</v>
      </c>
      <c r="J116" s="505">
        <f t="shared" si="7"/>
        <v>0</v>
      </c>
      <c r="K116" s="505"/>
      <c r="L116" s="513"/>
      <c r="M116" s="505">
        <f t="shared" si="8"/>
        <v>0</v>
      </c>
      <c r="N116" s="513"/>
      <c r="O116" s="505">
        <f t="shared" si="9"/>
        <v>0</v>
      </c>
      <c r="P116" s="505">
        <f t="shared" si="10"/>
        <v>0</v>
      </c>
      <c r="Q116" s="244"/>
      <c r="R116" s="244"/>
      <c r="S116" s="244"/>
      <c r="T116" s="244"/>
      <c r="U116" s="244"/>
    </row>
    <row r="117" spans="3:21" ht="12.5">
      <c r="C117" s="496">
        <f>IF(D94="","-",+C116+1)</f>
        <v>2033</v>
      </c>
      <c r="D117" s="350">
        <f>IF(F116+SUM(E$100:E116)=D$93,F116,D$93-SUM(E$100:E116))</f>
        <v>34000249.980808035</v>
      </c>
      <c r="E117" s="510">
        <f>IF(+J97&lt;F116,J97,D117)</f>
        <v>2068105.1212121211</v>
      </c>
      <c r="F117" s="511">
        <f t="shared" si="11"/>
        <v>31932144.859595913</v>
      </c>
      <c r="G117" s="511">
        <f t="shared" si="12"/>
        <v>32966197.420201972</v>
      </c>
      <c r="H117" s="628">
        <f t="shared" si="13"/>
        <v>5628758.5862849839</v>
      </c>
      <c r="I117" s="629">
        <f t="shared" si="14"/>
        <v>5628758.5862849839</v>
      </c>
      <c r="J117" s="505">
        <f t="shared" si="7"/>
        <v>0</v>
      </c>
      <c r="K117" s="505"/>
      <c r="L117" s="513"/>
      <c r="M117" s="505">
        <f t="shared" si="8"/>
        <v>0</v>
      </c>
      <c r="N117" s="513"/>
      <c r="O117" s="505">
        <f t="shared" si="9"/>
        <v>0</v>
      </c>
      <c r="P117" s="505">
        <f t="shared" si="10"/>
        <v>0</v>
      </c>
      <c r="Q117" s="244"/>
      <c r="R117" s="244"/>
      <c r="S117" s="244"/>
      <c r="T117" s="244"/>
      <c r="U117" s="244"/>
    </row>
    <row r="118" spans="3:21" ht="12.5">
      <c r="C118" s="496">
        <f>IF(D94="","-",+C117+1)</f>
        <v>2034</v>
      </c>
      <c r="D118" s="350">
        <f>IF(F117+SUM(E$100:E117)=D$93,F117,D$93-SUM(E$100:E117))</f>
        <v>31932144.859595913</v>
      </c>
      <c r="E118" s="510">
        <f>IF(+J97&lt;F117,J97,D118)</f>
        <v>2068105.1212121211</v>
      </c>
      <c r="F118" s="511">
        <f t="shared" si="11"/>
        <v>29864039.738383792</v>
      </c>
      <c r="G118" s="511">
        <f t="shared" si="12"/>
        <v>30898092.298989855</v>
      </c>
      <c r="H118" s="628">
        <f t="shared" si="13"/>
        <v>5405384.1530096969</v>
      </c>
      <c r="I118" s="629">
        <f t="shared" si="14"/>
        <v>5405384.1530096969</v>
      </c>
      <c r="J118" s="505">
        <f t="shared" si="7"/>
        <v>0</v>
      </c>
      <c r="K118" s="505"/>
      <c r="L118" s="513"/>
      <c r="M118" s="505">
        <f t="shared" si="8"/>
        <v>0</v>
      </c>
      <c r="N118" s="513"/>
      <c r="O118" s="505">
        <f t="shared" si="9"/>
        <v>0</v>
      </c>
      <c r="P118" s="505">
        <f t="shared" si="10"/>
        <v>0</v>
      </c>
      <c r="Q118" s="244"/>
      <c r="R118" s="244"/>
      <c r="S118" s="244"/>
      <c r="T118" s="244"/>
      <c r="U118" s="244"/>
    </row>
    <row r="119" spans="3:21" ht="12.5">
      <c r="C119" s="496">
        <f>IF(D94="","-",+C118+1)</f>
        <v>2035</v>
      </c>
      <c r="D119" s="350">
        <f>IF(F118+SUM(E$100:E118)=D$93,F118,D$93-SUM(E$100:E118))</f>
        <v>29864039.738383792</v>
      </c>
      <c r="E119" s="510">
        <f>IF(+J97&lt;F118,J97,D119)</f>
        <v>2068105.1212121211</v>
      </c>
      <c r="F119" s="511">
        <f t="shared" si="11"/>
        <v>27795934.617171671</v>
      </c>
      <c r="G119" s="511">
        <f t="shared" si="12"/>
        <v>28829987.17777773</v>
      </c>
      <c r="H119" s="628">
        <f t="shared" si="13"/>
        <v>5182009.719734408</v>
      </c>
      <c r="I119" s="629">
        <f t="shared" si="14"/>
        <v>5182009.719734408</v>
      </c>
      <c r="J119" s="505">
        <f t="shared" si="7"/>
        <v>0</v>
      </c>
      <c r="K119" s="505"/>
      <c r="L119" s="513"/>
      <c r="M119" s="505">
        <f t="shared" si="8"/>
        <v>0</v>
      </c>
      <c r="N119" s="513"/>
      <c r="O119" s="505">
        <f t="shared" si="9"/>
        <v>0</v>
      </c>
      <c r="P119" s="505">
        <f t="shared" si="10"/>
        <v>0</v>
      </c>
      <c r="Q119" s="244"/>
      <c r="R119" s="244"/>
      <c r="S119" s="244"/>
      <c r="T119" s="244"/>
      <c r="U119" s="244"/>
    </row>
    <row r="120" spans="3:21" ht="12.5">
      <c r="C120" s="496">
        <f>IF(D94="","-",+C119+1)</f>
        <v>2036</v>
      </c>
      <c r="D120" s="350">
        <f>IF(F119+SUM(E$100:E119)=D$93,F119,D$93-SUM(E$100:E119))</f>
        <v>27795934.617171671</v>
      </c>
      <c r="E120" s="510">
        <f>IF(+J97&lt;F119,J97,D120)</f>
        <v>2068105.1212121211</v>
      </c>
      <c r="F120" s="511">
        <f t="shared" si="11"/>
        <v>25727829.49595955</v>
      </c>
      <c r="G120" s="511">
        <f t="shared" si="12"/>
        <v>26761882.056565613</v>
      </c>
      <c r="H120" s="628">
        <f t="shared" si="13"/>
        <v>4958635.2864591209</v>
      </c>
      <c r="I120" s="629">
        <f t="shared" si="14"/>
        <v>4958635.2864591209</v>
      </c>
      <c r="J120" s="505">
        <f t="shared" si="7"/>
        <v>0</v>
      </c>
      <c r="K120" s="505"/>
      <c r="L120" s="513"/>
      <c r="M120" s="505">
        <f t="shared" si="8"/>
        <v>0</v>
      </c>
      <c r="N120" s="513"/>
      <c r="O120" s="505">
        <f t="shared" si="9"/>
        <v>0</v>
      </c>
      <c r="P120" s="505">
        <f t="shared" si="10"/>
        <v>0</v>
      </c>
      <c r="Q120" s="244"/>
      <c r="R120" s="244"/>
      <c r="S120" s="244"/>
      <c r="T120" s="244"/>
      <c r="U120" s="244"/>
    </row>
    <row r="121" spans="3:21" ht="12.5">
      <c r="C121" s="496">
        <f>IF(D94="","-",+C120+1)</f>
        <v>2037</v>
      </c>
      <c r="D121" s="350">
        <f>IF(F120+SUM(E$100:E120)=D$93,F120,D$93-SUM(E$100:E120))</f>
        <v>25727829.49595955</v>
      </c>
      <c r="E121" s="510">
        <f>IF(+J97&lt;F120,J97,D121)</f>
        <v>2068105.1212121211</v>
      </c>
      <c r="F121" s="511">
        <f t="shared" si="11"/>
        <v>23659724.374747429</v>
      </c>
      <c r="G121" s="511">
        <f t="shared" si="12"/>
        <v>24693776.935353488</v>
      </c>
      <c r="H121" s="628">
        <f t="shared" si="13"/>
        <v>4735260.853183832</v>
      </c>
      <c r="I121" s="629">
        <f t="shared" si="14"/>
        <v>4735260.853183832</v>
      </c>
      <c r="J121" s="505">
        <f t="shared" si="7"/>
        <v>0</v>
      </c>
      <c r="K121" s="505"/>
      <c r="L121" s="513"/>
      <c r="M121" s="505">
        <f t="shared" si="8"/>
        <v>0</v>
      </c>
      <c r="N121" s="513"/>
      <c r="O121" s="505">
        <f t="shared" si="9"/>
        <v>0</v>
      </c>
      <c r="P121" s="505">
        <f t="shared" si="10"/>
        <v>0</v>
      </c>
      <c r="Q121" s="244"/>
      <c r="R121" s="244"/>
      <c r="S121" s="244"/>
      <c r="T121" s="244"/>
      <c r="U121" s="244"/>
    </row>
    <row r="122" spans="3:21" ht="12.5">
      <c r="C122" s="496">
        <f>IF(D94="","-",+C121+1)</f>
        <v>2038</v>
      </c>
      <c r="D122" s="350">
        <f>IF(F121+SUM(E$100:E121)=D$93,F121,D$93-SUM(E$100:E121))</f>
        <v>23659724.374747429</v>
      </c>
      <c r="E122" s="510">
        <f>IF(+J97&lt;F121,J97,D122)</f>
        <v>2068105.1212121211</v>
      </c>
      <c r="F122" s="511">
        <f t="shared" si="11"/>
        <v>21591619.253535308</v>
      </c>
      <c r="G122" s="511">
        <f t="shared" si="12"/>
        <v>22625671.81414137</v>
      </c>
      <c r="H122" s="628">
        <f t="shared" si="13"/>
        <v>4511886.419908545</v>
      </c>
      <c r="I122" s="629">
        <f t="shared" si="14"/>
        <v>4511886.419908545</v>
      </c>
      <c r="J122" s="505">
        <f t="shared" si="7"/>
        <v>0</v>
      </c>
      <c r="K122" s="505"/>
      <c r="L122" s="513"/>
      <c r="M122" s="505">
        <f t="shared" si="8"/>
        <v>0</v>
      </c>
      <c r="N122" s="513"/>
      <c r="O122" s="505">
        <f t="shared" si="9"/>
        <v>0</v>
      </c>
      <c r="P122" s="505">
        <f t="shared" si="10"/>
        <v>0</v>
      </c>
      <c r="Q122" s="244"/>
      <c r="R122" s="244"/>
      <c r="S122" s="244"/>
      <c r="T122" s="244"/>
      <c r="U122" s="244"/>
    </row>
    <row r="123" spans="3:21" ht="12.5">
      <c r="C123" s="496">
        <f>IF(D94="","-",+C122+1)</f>
        <v>2039</v>
      </c>
      <c r="D123" s="350">
        <f>IF(F122+SUM(E$100:E122)=D$93,F122,D$93-SUM(E$100:E122))</f>
        <v>21591619.253535308</v>
      </c>
      <c r="E123" s="510">
        <f>IF(+J97&lt;F122,J97,D123)</f>
        <v>2068105.1212121211</v>
      </c>
      <c r="F123" s="511">
        <f t="shared" si="11"/>
        <v>19523514.132323187</v>
      </c>
      <c r="G123" s="511">
        <f t="shared" si="12"/>
        <v>20557566.692929246</v>
      </c>
      <c r="H123" s="628">
        <f t="shared" si="13"/>
        <v>4288511.986633257</v>
      </c>
      <c r="I123" s="629">
        <f t="shared" si="14"/>
        <v>4288511.986633257</v>
      </c>
      <c r="J123" s="505">
        <f t="shared" si="7"/>
        <v>0</v>
      </c>
      <c r="K123" s="505"/>
      <c r="L123" s="513"/>
      <c r="M123" s="505">
        <f t="shared" si="8"/>
        <v>0</v>
      </c>
      <c r="N123" s="513"/>
      <c r="O123" s="505">
        <f t="shared" si="9"/>
        <v>0</v>
      </c>
      <c r="P123" s="505">
        <f t="shared" si="10"/>
        <v>0</v>
      </c>
      <c r="Q123" s="244"/>
      <c r="R123" s="244"/>
      <c r="S123" s="244"/>
      <c r="T123" s="244"/>
      <c r="U123" s="244"/>
    </row>
    <row r="124" spans="3:21" ht="12.5">
      <c r="C124" s="496">
        <f>IF(D94="","-",+C123+1)</f>
        <v>2040</v>
      </c>
      <c r="D124" s="350">
        <f>IF(F123+SUM(E$100:E123)=D$93,F123,D$93-SUM(E$100:E123))</f>
        <v>19523514.132323187</v>
      </c>
      <c r="E124" s="510">
        <f>IF(+J97&lt;F123,J97,D124)</f>
        <v>2068105.1212121211</v>
      </c>
      <c r="F124" s="511">
        <f t="shared" si="11"/>
        <v>17455409.011111066</v>
      </c>
      <c r="G124" s="511">
        <f t="shared" si="12"/>
        <v>18489461.571717128</v>
      </c>
      <c r="H124" s="628">
        <f t="shared" si="13"/>
        <v>4065137.5533579695</v>
      </c>
      <c r="I124" s="629">
        <f t="shared" si="14"/>
        <v>4065137.5533579695</v>
      </c>
      <c r="J124" s="505">
        <f t="shared" si="7"/>
        <v>0</v>
      </c>
      <c r="K124" s="505"/>
      <c r="L124" s="513"/>
      <c r="M124" s="505">
        <f t="shared" si="8"/>
        <v>0</v>
      </c>
      <c r="N124" s="513"/>
      <c r="O124" s="505">
        <f t="shared" si="9"/>
        <v>0</v>
      </c>
      <c r="P124" s="505">
        <f t="shared" si="10"/>
        <v>0</v>
      </c>
      <c r="Q124" s="244"/>
      <c r="R124" s="244"/>
      <c r="S124" s="244"/>
      <c r="T124" s="244"/>
      <c r="U124" s="244"/>
    </row>
    <row r="125" spans="3:21" ht="12.5">
      <c r="C125" s="496">
        <f>IF(D94="","-",+C124+1)</f>
        <v>2041</v>
      </c>
      <c r="D125" s="350">
        <f>IF(F124+SUM(E$100:E124)=D$93,F124,D$93-SUM(E$100:E124))</f>
        <v>17455409.011111066</v>
      </c>
      <c r="E125" s="510">
        <f>IF(+J97&lt;F124,J97,D125)</f>
        <v>2068105.1212121211</v>
      </c>
      <c r="F125" s="511">
        <f t="shared" si="11"/>
        <v>15387303.889898945</v>
      </c>
      <c r="G125" s="511">
        <f t="shared" si="12"/>
        <v>16421356.450505005</v>
      </c>
      <c r="H125" s="628">
        <f t="shared" si="13"/>
        <v>3841763.1200826811</v>
      </c>
      <c r="I125" s="629">
        <f t="shared" si="14"/>
        <v>3841763.1200826811</v>
      </c>
      <c r="J125" s="505">
        <f t="shared" si="7"/>
        <v>0</v>
      </c>
      <c r="K125" s="505"/>
      <c r="L125" s="513"/>
      <c r="M125" s="505">
        <f t="shared" si="8"/>
        <v>0</v>
      </c>
      <c r="N125" s="513"/>
      <c r="O125" s="505">
        <f t="shared" si="9"/>
        <v>0</v>
      </c>
      <c r="P125" s="505">
        <f t="shared" si="10"/>
        <v>0</v>
      </c>
      <c r="Q125" s="244"/>
      <c r="R125" s="244"/>
      <c r="S125" s="244"/>
      <c r="T125" s="244"/>
      <c r="U125" s="244"/>
    </row>
    <row r="126" spans="3:21" ht="12.5">
      <c r="C126" s="496">
        <f>IF(D94="","-",+C125+1)</f>
        <v>2042</v>
      </c>
      <c r="D126" s="350">
        <f>IF(F125+SUM(E$100:E125)=D$93,F125,D$93-SUM(E$100:E125))</f>
        <v>15387303.889898945</v>
      </c>
      <c r="E126" s="510">
        <f>IF(+J97&lt;F125,J97,D126)</f>
        <v>2068105.1212121211</v>
      </c>
      <c r="F126" s="511">
        <f t="shared" si="11"/>
        <v>13319198.768686824</v>
      </c>
      <c r="G126" s="511">
        <f t="shared" si="12"/>
        <v>14353251.329292884</v>
      </c>
      <c r="H126" s="628">
        <f t="shared" si="13"/>
        <v>3618388.6868073936</v>
      </c>
      <c r="I126" s="629">
        <f t="shared" si="14"/>
        <v>3618388.6868073936</v>
      </c>
      <c r="J126" s="505">
        <f t="shared" si="7"/>
        <v>0</v>
      </c>
      <c r="K126" s="505"/>
      <c r="L126" s="513"/>
      <c r="M126" s="505">
        <f t="shared" si="8"/>
        <v>0</v>
      </c>
      <c r="N126" s="513"/>
      <c r="O126" s="505">
        <f t="shared" si="9"/>
        <v>0</v>
      </c>
      <c r="P126" s="505">
        <f t="shared" si="10"/>
        <v>0</v>
      </c>
      <c r="Q126" s="244"/>
      <c r="R126" s="244"/>
      <c r="S126" s="244"/>
      <c r="T126" s="244"/>
      <c r="U126" s="244"/>
    </row>
    <row r="127" spans="3:21" ht="12.5">
      <c r="C127" s="496">
        <f>IF(D94="","-",+C126+1)</f>
        <v>2043</v>
      </c>
      <c r="D127" s="350">
        <f>IF(F126+SUM(E$100:E126)=D$93,F126,D$93-SUM(E$100:E126))</f>
        <v>13319198.768686824</v>
      </c>
      <c r="E127" s="510">
        <f>IF(+J97&lt;F126,J97,D127)</f>
        <v>2068105.1212121211</v>
      </c>
      <c r="F127" s="511">
        <f t="shared" si="11"/>
        <v>11251093.647474702</v>
      </c>
      <c r="G127" s="511">
        <f t="shared" si="12"/>
        <v>12285146.208080763</v>
      </c>
      <c r="H127" s="628">
        <f t="shared" si="13"/>
        <v>3395014.2535321056</v>
      </c>
      <c r="I127" s="629">
        <f t="shared" si="14"/>
        <v>3395014.2535321056</v>
      </c>
      <c r="J127" s="505">
        <f t="shared" si="7"/>
        <v>0</v>
      </c>
      <c r="K127" s="505"/>
      <c r="L127" s="513"/>
      <c r="M127" s="505">
        <f t="shared" si="8"/>
        <v>0</v>
      </c>
      <c r="N127" s="513"/>
      <c r="O127" s="505">
        <f t="shared" si="9"/>
        <v>0</v>
      </c>
      <c r="P127" s="505">
        <f t="shared" si="10"/>
        <v>0</v>
      </c>
      <c r="Q127" s="244"/>
      <c r="R127" s="244"/>
      <c r="S127" s="244"/>
      <c r="T127" s="244"/>
      <c r="U127" s="244"/>
    </row>
    <row r="128" spans="3:21" ht="12.5">
      <c r="C128" s="496">
        <f>IF(D94="","-",+C127+1)</f>
        <v>2044</v>
      </c>
      <c r="D128" s="350">
        <f>IF(F127+SUM(E$100:E127)=D$93,F127,D$93-SUM(E$100:E127))</f>
        <v>11251093.647474702</v>
      </c>
      <c r="E128" s="510">
        <f>IF(+J97&lt;F127,J97,D128)</f>
        <v>2068105.1212121211</v>
      </c>
      <c r="F128" s="511">
        <f t="shared" si="11"/>
        <v>9182988.5262625813</v>
      </c>
      <c r="G128" s="511">
        <f t="shared" si="12"/>
        <v>10217041.086868642</v>
      </c>
      <c r="H128" s="628">
        <f t="shared" si="13"/>
        <v>3171639.8202568181</v>
      </c>
      <c r="I128" s="629">
        <f t="shared" si="14"/>
        <v>3171639.8202568181</v>
      </c>
      <c r="J128" s="505">
        <f t="shared" si="7"/>
        <v>0</v>
      </c>
      <c r="K128" s="505"/>
      <c r="L128" s="513"/>
      <c r="M128" s="505">
        <f t="shared" si="8"/>
        <v>0</v>
      </c>
      <c r="N128" s="513"/>
      <c r="O128" s="505">
        <f t="shared" si="9"/>
        <v>0</v>
      </c>
      <c r="P128" s="505">
        <f t="shared" si="10"/>
        <v>0</v>
      </c>
      <c r="Q128" s="244"/>
      <c r="R128" s="244"/>
      <c r="S128" s="244"/>
      <c r="T128" s="244"/>
      <c r="U128" s="244"/>
    </row>
    <row r="129" spans="3:21" ht="12.5">
      <c r="C129" s="496">
        <f>IF(D94="","-",+C128+1)</f>
        <v>2045</v>
      </c>
      <c r="D129" s="350">
        <f>IF(F128+SUM(E$100:E128)=D$93,F128,D$93-SUM(E$100:E128))</f>
        <v>9182988.5262625813</v>
      </c>
      <c r="E129" s="510">
        <f>IF(+J97&lt;F128,J97,D129)</f>
        <v>2068105.1212121211</v>
      </c>
      <c r="F129" s="511">
        <f t="shared" si="11"/>
        <v>7114883.4050504602</v>
      </c>
      <c r="G129" s="511">
        <f t="shared" si="12"/>
        <v>8148935.9656565208</v>
      </c>
      <c r="H129" s="628">
        <f t="shared" si="13"/>
        <v>2948265.3869815301</v>
      </c>
      <c r="I129" s="629">
        <f t="shared" si="14"/>
        <v>2948265.3869815301</v>
      </c>
      <c r="J129" s="505">
        <f t="shared" si="7"/>
        <v>0</v>
      </c>
      <c r="K129" s="505"/>
      <c r="L129" s="513"/>
      <c r="M129" s="505">
        <f t="shared" si="8"/>
        <v>0</v>
      </c>
      <c r="N129" s="513"/>
      <c r="O129" s="505">
        <f t="shared" si="9"/>
        <v>0</v>
      </c>
      <c r="P129" s="505">
        <f t="shared" si="10"/>
        <v>0</v>
      </c>
      <c r="Q129" s="244"/>
      <c r="R129" s="244"/>
      <c r="S129" s="244"/>
      <c r="T129" s="244"/>
      <c r="U129" s="244"/>
    </row>
    <row r="130" spans="3:21" ht="12.5">
      <c r="C130" s="496">
        <f>IF(D94="","-",+C129+1)</f>
        <v>2046</v>
      </c>
      <c r="D130" s="350">
        <f>IF(F129+SUM(E$100:E129)=D$93,F129,D$93-SUM(E$100:E129))</f>
        <v>7114883.4050504602</v>
      </c>
      <c r="E130" s="510">
        <f>IF(+J97&lt;F129,J97,D130)</f>
        <v>2068105.1212121211</v>
      </c>
      <c r="F130" s="511">
        <f t="shared" si="11"/>
        <v>5046778.2838383391</v>
      </c>
      <c r="G130" s="511">
        <f t="shared" si="12"/>
        <v>6080830.8444443997</v>
      </c>
      <c r="H130" s="628">
        <f t="shared" si="13"/>
        <v>2724890.9537062421</v>
      </c>
      <c r="I130" s="629">
        <f t="shared" si="14"/>
        <v>2724890.9537062421</v>
      </c>
      <c r="J130" s="505">
        <f t="shared" si="7"/>
        <v>0</v>
      </c>
      <c r="K130" s="505"/>
      <c r="L130" s="513"/>
      <c r="M130" s="505">
        <f t="shared" si="8"/>
        <v>0</v>
      </c>
      <c r="N130" s="513"/>
      <c r="O130" s="505">
        <f t="shared" si="9"/>
        <v>0</v>
      </c>
      <c r="P130" s="505">
        <f t="shared" si="10"/>
        <v>0</v>
      </c>
      <c r="Q130" s="244"/>
      <c r="R130" s="244"/>
      <c r="S130" s="244"/>
      <c r="T130" s="244"/>
      <c r="U130" s="244"/>
    </row>
    <row r="131" spans="3:21" ht="12.5">
      <c r="C131" s="496">
        <f>IF(D94="","-",+C130+1)</f>
        <v>2047</v>
      </c>
      <c r="D131" s="350">
        <f>IF(F130+SUM(E$100:E130)=D$93,F130,D$93-SUM(E$100:E130))</f>
        <v>5046778.2838383391</v>
      </c>
      <c r="E131" s="510">
        <f>IF(+J97&lt;F130,J97,D131)</f>
        <v>2068105.1212121211</v>
      </c>
      <c r="F131" s="511">
        <f t="shared" si="11"/>
        <v>2978673.1626262181</v>
      </c>
      <c r="G131" s="511">
        <f t="shared" si="12"/>
        <v>4012725.7232322786</v>
      </c>
      <c r="H131" s="628">
        <f t="shared" si="13"/>
        <v>2501516.5204309542</v>
      </c>
      <c r="I131" s="629">
        <f t="shared" si="14"/>
        <v>2501516.5204309542</v>
      </c>
      <c r="J131" s="505">
        <f t="shared" si="7"/>
        <v>0</v>
      </c>
      <c r="K131" s="505"/>
      <c r="L131" s="513"/>
      <c r="M131" s="505">
        <f t="shared" si="8"/>
        <v>0</v>
      </c>
      <c r="N131" s="513"/>
      <c r="O131" s="505">
        <f t="shared" si="9"/>
        <v>0</v>
      </c>
      <c r="P131" s="505">
        <f t="shared" si="10"/>
        <v>0</v>
      </c>
      <c r="Q131" s="244"/>
      <c r="R131" s="244"/>
      <c r="S131" s="244"/>
      <c r="T131" s="244"/>
      <c r="U131" s="244"/>
    </row>
    <row r="132" spans="3:21" ht="12.5">
      <c r="C132" s="496">
        <f>IF(D94="","-",+C131+1)</f>
        <v>2048</v>
      </c>
      <c r="D132" s="350">
        <f>IF(F131+SUM(E$100:E131)=D$93,F131,D$93-SUM(E$100:E131))</f>
        <v>2978673.1626262181</v>
      </c>
      <c r="E132" s="510">
        <f>IF(+J97&lt;F131,J97,D132)</f>
        <v>2068105.1212121211</v>
      </c>
      <c r="F132" s="511">
        <f t="shared" ref="F132:F155" si="15">+D132-E132</f>
        <v>910568.04141409695</v>
      </c>
      <c r="G132" s="511">
        <f t="shared" ref="G132:G155" si="16">+(F132+D132)/2</f>
        <v>1944620.6020201575</v>
      </c>
      <c r="H132" s="628">
        <f t="shared" si="13"/>
        <v>2278142.0871556662</v>
      </c>
      <c r="I132" s="629">
        <f t="shared" si="14"/>
        <v>2278142.0871556662</v>
      </c>
      <c r="J132" s="505">
        <f t="shared" ref="J132:J155" si="17">+I542-H542</f>
        <v>0</v>
      </c>
      <c r="K132" s="505"/>
      <c r="L132" s="513"/>
      <c r="M132" s="505">
        <f t="shared" ref="M132:M155" si="18">IF(L542&lt;&gt;0,+H542-L542,0)</f>
        <v>0</v>
      </c>
      <c r="N132" s="513"/>
      <c r="O132" s="505">
        <f t="shared" ref="O132:O155" si="19">IF(N542&lt;&gt;0,+I542-N542,0)</f>
        <v>0</v>
      </c>
      <c r="P132" s="505">
        <f t="shared" ref="P132:P155" si="20">+O542-M542</f>
        <v>0</v>
      </c>
      <c r="Q132" s="244"/>
      <c r="R132" s="244"/>
      <c r="S132" s="244"/>
      <c r="T132" s="244"/>
      <c r="U132" s="244"/>
    </row>
    <row r="133" spans="3:21" ht="12.5">
      <c r="C133" s="496">
        <f>IF(D94="","-",+C132+1)</f>
        <v>2049</v>
      </c>
      <c r="D133" s="350">
        <f>IF(F132+SUM(E$100:E132)=D$93,F132,D$93-SUM(E$100:E132))</f>
        <v>910568.04141409695</v>
      </c>
      <c r="E133" s="510">
        <f>IF(+J97&lt;F132,J97,D133)</f>
        <v>910568.04141409695</v>
      </c>
      <c r="F133" s="511">
        <f t="shared" si="15"/>
        <v>0</v>
      </c>
      <c r="G133" s="511">
        <f t="shared" si="16"/>
        <v>455284.02070704848</v>
      </c>
      <c r="H133" s="628">
        <f t="shared" si="13"/>
        <v>959742.91606704763</v>
      </c>
      <c r="I133" s="629">
        <f t="shared" si="14"/>
        <v>959742.91606704763</v>
      </c>
      <c r="J133" s="505">
        <f t="shared" si="17"/>
        <v>0</v>
      </c>
      <c r="K133" s="505"/>
      <c r="L133" s="513"/>
      <c r="M133" s="505">
        <f t="shared" si="18"/>
        <v>0</v>
      </c>
      <c r="N133" s="513"/>
      <c r="O133" s="505">
        <f t="shared" si="19"/>
        <v>0</v>
      </c>
      <c r="P133" s="505">
        <f t="shared" si="20"/>
        <v>0</v>
      </c>
      <c r="Q133" s="244"/>
      <c r="R133" s="244"/>
      <c r="S133" s="244"/>
      <c r="T133" s="244"/>
      <c r="U133" s="244"/>
    </row>
    <row r="134" spans="3:21" ht="12.5">
      <c r="C134" s="496">
        <f>IF(D94="","-",+C133+1)</f>
        <v>2050</v>
      </c>
      <c r="D134" s="350">
        <f>IF(F133+SUM(E$100:E133)=D$93,F133,D$93-SUM(E$100:E133))</f>
        <v>0</v>
      </c>
      <c r="E134" s="510">
        <f>IF(+J97&lt;F133,J97,D134)</f>
        <v>0</v>
      </c>
      <c r="F134" s="511">
        <f t="shared" si="15"/>
        <v>0</v>
      </c>
      <c r="G134" s="511">
        <f t="shared" si="16"/>
        <v>0</v>
      </c>
      <c r="H134" s="628">
        <f t="shared" si="13"/>
        <v>0</v>
      </c>
      <c r="I134" s="629">
        <f t="shared" si="14"/>
        <v>0</v>
      </c>
      <c r="J134" s="505">
        <f t="shared" si="17"/>
        <v>0</v>
      </c>
      <c r="K134" s="505"/>
      <c r="L134" s="513"/>
      <c r="M134" s="505">
        <f t="shared" si="18"/>
        <v>0</v>
      </c>
      <c r="N134" s="513"/>
      <c r="O134" s="505">
        <f t="shared" si="19"/>
        <v>0</v>
      </c>
      <c r="P134" s="505">
        <f t="shared" si="20"/>
        <v>0</v>
      </c>
      <c r="Q134" s="244"/>
      <c r="R134" s="244"/>
      <c r="S134" s="244"/>
      <c r="T134" s="244"/>
      <c r="U134" s="244"/>
    </row>
    <row r="135" spans="3:21" ht="12.5">
      <c r="C135" s="496">
        <f>IF(D94="","-",+C134+1)</f>
        <v>2051</v>
      </c>
      <c r="D135" s="350">
        <f>IF(F134+SUM(E$100:E134)=D$93,F134,D$93-SUM(E$100:E134))</f>
        <v>0</v>
      </c>
      <c r="E135" s="510">
        <f>IF(+J97&lt;F134,J97,D135)</f>
        <v>0</v>
      </c>
      <c r="F135" s="511">
        <f t="shared" si="15"/>
        <v>0</v>
      </c>
      <c r="G135" s="511">
        <f t="shared" si="16"/>
        <v>0</v>
      </c>
      <c r="H135" s="628">
        <f t="shared" si="13"/>
        <v>0</v>
      </c>
      <c r="I135" s="629">
        <f t="shared" si="14"/>
        <v>0</v>
      </c>
      <c r="J135" s="505">
        <f t="shared" si="17"/>
        <v>0</v>
      </c>
      <c r="K135" s="505"/>
      <c r="L135" s="513"/>
      <c r="M135" s="505">
        <f t="shared" si="18"/>
        <v>0</v>
      </c>
      <c r="N135" s="513"/>
      <c r="O135" s="505">
        <f t="shared" si="19"/>
        <v>0</v>
      </c>
      <c r="P135" s="505">
        <f t="shared" si="20"/>
        <v>0</v>
      </c>
      <c r="Q135" s="244"/>
      <c r="R135" s="244"/>
      <c r="S135" s="244"/>
      <c r="T135" s="244"/>
      <c r="U135" s="244"/>
    </row>
    <row r="136" spans="3:21" ht="12.5">
      <c r="C136" s="496">
        <f>IF(D94="","-",+C135+1)</f>
        <v>2052</v>
      </c>
      <c r="D136" s="350">
        <f>IF(F135+SUM(E$100:E135)=D$93,F135,D$93-SUM(E$100:E135))</f>
        <v>0</v>
      </c>
      <c r="E136" s="510">
        <f>IF(+J97&lt;F135,J97,D136)</f>
        <v>0</v>
      </c>
      <c r="F136" s="511">
        <f t="shared" si="15"/>
        <v>0</v>
      </c>
      <c r="G136" s="511">
        <f t="shared" si="16"/>
        <v>0</v>
      </c>
      <c r="H136" s="628">
        <f t="shared" si="13"/>
        <v>0</v>
      </c>
      <c r="I136" s="629">
        <f t="shared" si="14"/>
        <v>0</v>
      </c>
      <c r="J136" s="505">
        <f t="shared" si="17"/>
        <v>0</v>
      </c>
      <c r="K136" s="505"/>
      <c r="L136" s="513"/>
      <c r="M136" s="505">
        <f t="shared" si="18"/>
        <v>0</v>
      </c>
      <c r="N136" s="513"/>
      <c r="O136" s="505">
        <f t="shared" si="19"/>
        <v>0</v>
      </c>
      <c r="P136" s="505">
        <f t="shared" si="20"/>
        <v>0</v>
      </c>
      <c r="Q136" s="244"/>
      <c r="R136" s="244"/>
      <c r="S136" s="244"/>
      <c r="T136" s="244"/>
      <c r="U136" s="244"/>
    </row>
    <row r="137" spans="3:21" ht="12.5">
      <c r="C137" s="496">
        <f>IF(D94="","-",+C136+1)</f>
        <v>2053</v>
      </c>
      <c r="D137" s="350">
        <f>IF(F136+SUM(E$100:E136)=D$93,F136,D$93-SUM(E$100:E136))</f>
        <v>0</v>
      </c>
      <c r="E137" s="510">
        <f>IF(+J97&lt;F136,J97,D137)</f>
        <v>0</v>
      </c>
      <c r="F137" s="511">
        <f t="shared" si="15"/>
        <v>0</v>
      </c>
      <c r="G137" s="511">
        <f t="shared" si="16"/>
        <v>0</v>
      </c>
      <c r="H137" s="628">
        <f t="shared" si="13"/>
        <v>0</v>
      </c>
      <c r="I137" s="629">
        <f t="shared" si="14"/>
        <v>0</v>
      </c>
      <c r="J137" s="505">
        <f t="shared" si="17"/>
        <v>0</v>
      </c>
      <c r="K137" s="505"/>
      <c r="L137" s="513"/>
      <c r="M137" s="505">
        <f t="shared" si="18"/>
        <v>0</v>
      </c>
      <c r="N137" s="513"/>
      <c r="O137" s="505">
        <f t="shared" si="19"/>
        <v>0</v>
      </c>
      <c r="P137" s="505">
        <f t="shared" si="20"/>
        <v>0</v>
      </c>
      <c r="Q137" s="244"/>
      <c r="R137" s="244"/>
      <c r="S137" s="244"/>
      <c r="T137" s="244"/>
      <c r="U137" s="244"/>
    </row>
    <row r="138" spans="3:21" ht="12.5">
      <c r="C138" s="496">
        <f>IF(D94="","-",+C137+1)</f>
        <v>2054</v>
      </c>
      <c r="D138" s="350">
        <f>IF(F137+SUM(E$100:E137)=D$93,F137,D$93-SUM(E$100:E137))</f>
        <v>0</v>
      </c>
      <c r="E138" s="510">
        <f>IF(+J97&lt;F137,J97,D138)</f>
        <v>0</v>
      </c>
      <c r="F138" s="511">
        <f t="shared" si="15"/>
        <v>0</v>
      </c>
      <c r="G138" s="511">
        <f t="shared" si="16"/>
        <v>0</v>
      </c>
      <c r="H138" s="628">
        <f t="shared" si="13"/>
        <v>0</v>
      </c>
      <c r="I138" s="629">
        <f t="shared" si="14"/>
        <v>0</v>
      </c>
      <c r="J138" s="505">
        <f t="shared" si="17"/>
        <v>0</v>
      </c>
      <c r="K138" s="505"/>
      <c r="L138" s="513"/>
      <c r="M138" s="505">
        <f t="shared" si="18"/>
        <v>0</v>
      </c>
      <c r="N138" s="513"/>
      <c r="O138" s="505">
        <f t="shared" si="19"/>
        <v>0</v>
      </c>
      <c r="P138" s="505">
        <f t="shared" si="20"/>
        <v>0</v>
      </c>
      <c r="Q138" s="244"/>
      <c r="R138" s="244"/>
      <c r="S138" s="244"/>
      <c r="T138" s="244"/>
      <c r="U138" s="244"/>
    </row>
    <row r="139" spans="3:21" ht="12.5">
      <c r="C139" s="496">
        <f>IF(D94="","-",+C138+1)</f>
        <v>2055</v>
      </c>
      <c r="D139" s="350">
        <f>IF(F138+SUM(E$100:E138)=D$93,F138,D$93-SUM(E$100:E138))</f>
        <v>0</v>
      </c>
      <c r="E139" s="510">
        <f>IF(+J97&lt;F138,J97,D139)</f>
        <v>0</v>
      </c>
      <c r="F139" s="511">
        <f t="shared" si="15"/>
        <v>0</v>
      </c>
      <c r="G139" s="511">
        <f t="shared" si="16"/>
        <v>0</v>
      </c>
      <c r="H139" s="628">
        <f t="shared" si="13"/>
        <v>0</v>
      </c>
      <c r="I139" s="629">
        <f t="shared" si="14"/>
        <v>0</v>
      </c>
      <c r="J139" s="505">
        <f t="shared" si="17"/>
        <v>0</v>
      </c>
      <c r="K139" s="505"/>
      <c r="L139" s="513"/>
      <c r="M139" s="505">
        <f t="shared" si="18"/>
        <v>0</v>
      </c>
      <c r="N139" s="513"/>
      <c r="O139" s="505">
        <f t="shared" si="19"/>
        <v>0</v>
      </c>
      <c r="P139" s="505">
        <f t="shared" si="20"/>
        <v>0</v>
      </c>
      <c r="Q139" s="244"/>
      <c r="R139" s="244"/>
      <c r="S139" s="244"/>
      <c r="T139" s="244"/>
      <c r="U139" s="244"/>
    </row>
    <row r="140" spans="3:21" ht="12.5">
      <c r="C140" s="496">
        <f>IF(D94="","-",+C139+1)</f>
        <v>2056</v>
      </c>
      <c r="D140" s="350">
        <f>IF(F139+SUM(E$100:E139)=D$93,F139,D$93-SUM(E$100:E139))</f>
        <v>0</v>
      </c>
      <c r="E140" s="510">
        <f>IF(+J97&lt;F139,J97,D140)</f>
        <v>0</v>
      </c>
      <c r="F140" s="511">
        <f t="shared" si="15"/>
        <v>0</v>
      </c>
      <c r="G140" s="511">
        <f t="shared" si="16"/>
        <v>0</v>
      </c>
      <c r="H140" s="628">
        <f t="shared" si="13"/>
        <v>0</v>
      </c>
      <c r="I140" s="629">
        <f t="shared" si="14"/>
        <v>0</v>
      </c>
      <c r="J140" s="505">
        <f t="shared" si="17"/>
        <v>0</v>
      </c>
      <c r="K140" s="505"/>
      <c r="L140" s="513"/>
      <c r="M140" s="505">
        <f t="shared" si="18"/>
        <v>0</v>
      </c>
      <c r="N140" s="513"/>
      <c r="O140" s="505">
        <f t="shared" si="19"/>
        <v>0</v>
      </c>
      <c r="P140" s="505">
        <f t="shared" si="20"/>
        <v>0</v>
      </c>
      <c r="Q140" s="244"/>
      <c r="R140" s="244"/>
      <c r="S140" s="244"/>
      <c r="T140" s="244"/>
      <c r="U140" s="244"/>
    </row>
    <row r="141" spans="3:21" ht="12.5">
      <c r="C141" s="496">
        <f>IF(D94="","-",+C140+1)</f>
        <v>2057</v>
      </c>
      <c r="D141" s="350">
        <f>IF(F140+SUM(E$100:E140)=D$93,F140,D$93-SUM(E$100:E140))</f>
        <v>0</v>
      </c>
      <c r="E141" s="510">
        <f>IF(+J97&lt;F140,J97,D141)</f>
        <v>0</v>
      </c>
      <c r="F141" s="511">
        <f t="shared" si="15"/>
        <v>0</v>
      </c>
      <c r="G141" s="511">
        <f t="shared" si="16"/>
        <v>0</v>
      </c>
      <c r="H141" s="628">
        <f t="shared" si="13"/>
        <v>0</v>
      </c>
      <c r="I141" s="629">
        <f t="shared" si="14"/>
        <v>0</v>
      </c>
      <c r="J141" s="505">
        <f t="shared" si="17"/>
        <v>0</v>
      </c>
      <c r="K141" s="505"/>
      <c r="L141" s="513"/>
      <c r="M141" s="505">
        <f t="shared" si="18"/>
        <v>0</v>
      </c>
      <c r="N141" s="513"/>
      <c r="O141" s="505">
        <f t="shared" si="19"/>
        <v>0</v>
      </c>
      <c r="P141" s="505">
        <f t="shared" si="20"/>
        <v>0</v>
      </c>
      <c r="Q141" s="244"/>
      <c r="R141" s="244"/>
      <c r="S141" s="244"/>
      <c r="T141" s="244"/>
      <c r="U141" s="244"/>
    </row>
    <row r="142" spans="3:21" ht="12.5">
      <c r="C142" s="496">
        <f>IF(D94="","-",+C141+1)</f>
        <v>2058</v>
      </c>
      <c r="D142" s="350">
        <f>IF(F141+SUM(E$100:E141)=D$93,F141,D$93-SUM(E$100:E141))</f>
        <v>0</v>
      </c>
      <c r="E142" s="510">
        <f>IF(+J97&lt;F141,J97,D142)</f>
        <v>0</v>
      </c>
      <c r="F142" s="511">
        <f t="shared" si="15"/>
        <v>0</v>
      </c>
      <c r="G142" s="511">
        <f t="shared" si="16"/>
        <v>0</v>
      </c>
      <c r="H142" s="628">
        <f t="shared" si="13"/>
        <v>0</v>
      </c>
      <c r="I142" s="629">
        <f t="shared" si="14"/>
        <v>0</v>
      </c>
      <c r="J142" s="505">
        <f t="shared" si="17"/>
        <v>0</v>
      </c>
      <c r="K142" s="505"/>
      <c r="L142" s="513"/>
      <c r="M142" s="505">
        <f t="shared" si="18"/>
        <v>0</v>
      </c>
      <c r="N142" s="513"/>
      <c r="O142" s="505">
        <f t="shared" si="19"/>
        <v>0</v>
      </c>
      <c r="P142" s="505">
        <f t="shared" si="20"/>
        <v>0</v>
      </c>
      <c r="Q142" s="244"/>
      <c r="R142" s="244"/>
      <c r="S142" s="244"/>
      <c r="T142" s="244"/>
      <c r="U142" s="244"/>
    </row>
    <row r="143" spans="3:21" ht="12.5">
      <c r="C143" s="496">
        <f>IF(D94="","-",+C142+1)</f>
        <v>2059</v>
      </c>
      <c r="D143" s="350">
        <f>IF(F142+SUM(E$100:E142)=D$93,F142,D$93-SUM(E$100:E142))</f>
        <v>0</v>
      </c>
      <c r="E143" s="510">
        <f>IF(+J97&lt;F142,J97,D143)</f>
        <v>0</v>
      </c>
      <c r="F143" s="511">
        <f t="shared" si="15"/>
        <v>0</v>
      </c>
      <c r="G143" s="511">
        <f t="shared" si="16"/>
        <v>0</v>
      </c>
      <c r="H143" s="628">
        <f t="shared" si="13"/>
        <v>0</v>
      </c>
      <c r="I143" s="629">
        <f t="shared" si="14"/>
        <v>0</v>
      </c>
      <c r="J143" s="505">
        <f t="shared" si="17"/>
        <v>0</v>
      </c>
      <c r="K143" s="505"/>
      <c r="L143" s="513"/>
      <c r="M143" s="505">
        <f t="shared" si="18"/>
        <v>0</v>
      </c>
      <c r="N143" s="513"/>
      <c r="O143" s="505">
        <f t="shared" si="19"/>
        <v>0</v>
      </c>
      <c r="P143" s="505">
        <f t="shared" si="20"/>
        <v>0</v>
      </c>
      <c r="Q143" s="244"/>
      <c r="R143" s="244"/>
      <c r="S143" s="244"/>
      <c r="T143" s="244"/>
      <c r="U143" s="244"/>
    </row>
    <row r="144" spans="3:21" ht="12.5">
      <c r="C144" s="496">
        <f>IF(D94="","-",+C143+1)</f>
        <v>2060</v>
      </c>
      <c r="D144" s="350">
        <f>IF(F143+SUM(E$100:E143)=D$93,F143,D$93-SUM(E$100:E143))</f>
        <v>0</v>
      </c>
      <c r="E144" s="510">
        <f>IF(+J97&lt;F143,J97,D144)</f>
        <v>0</v>
      </c>
      <c r="F144" s="511">
        <f t="shared" si="15"/>
        <v>0</v>
      </c>
      <c r="G144" s="511">
        <f t="shared" si="16"/>
        <v>0</v>
      </c>
      <c r="H144" s="628">
        <f t="shared" si="13"/>
        <v>0</v>
      </c>
      <c r="I144" s="629">
        <f t="shared" si="14"/>
        <v>0</v>
      </c>
      <c r="J144" s="505">
        <f t="shared" si="17"/>
        <v>0</v>
      </c>
      <c r="K144" s="505"/>
      <c r="L144" s="513"/>
      <c r="M144" s="505">
        <f t="shared" si="18"/>
        <v>0</v>
      </c>
      <c r="N144" s="513"/>
      <c r="O144" s="505">
        <f t="shared" si="19"/>
        <v>0</v>
      </c>
      <c r="P144" s="505">
        <f t="shared" si="20"/>
        <v>0</v>
      </c>
      <c r="Q144" s="244"/>
      <c r="R144" s="244"/>
      <c r="S144" s="244"/>
      <c r="T144" s="244"/>
      <c r="U144" s="244"/>
    </row>
    <row r="145" spans="3:21" ht="12.5">
      <c r="C145" s="496">
        <f>IF(D94="","-",+C144+1)</f>
        <v>2061</v>
      </c>
      <c r="D145" s="350">
        <f>IF(F144+SUM(E$100:E144)=D$93,F144,D$93-SUM(E$100:E144))</f>
        <v>0</v>
      </c>
      <c r="E145" s="510">
        <f>IF(+J97&lt;F144,J97,D145)</f>
        <v>0</v>
      </c>
      <c r="F145" s="511">
        <f t="shared" si="15"/>
        <v>0</v>
      </c>
      <c r="G145" s="511">
        <f t="shared" si="16"/>
        <v>0</v>
      </c>
      <c r="H145" s="628">
        <f t="shared" si="13"/>
        <v>0</v>
      </c>
      <c r="I145" s="629">
        <f t="shared" si="14"/>
        <v>0</v>
      </c>
      <c r="J145" s="505">
        <f t="shared" si="17"/>
        <v>0</v>
      </c>
      <c r="K145" s="505"/>
      <c r="L145" s="513"/>
      <c r="M145" s="505">
        <f t="shared" si="18"/>
        <v>0</v>
      </c>
      <c r="N145" s="513"/>
      <c r="O145" s="505">
        <f t="shared" si="19"/>
        <v>0</v>
      </c>
      <c r="P145" s="505">
        <f t="shared" si="20"/>
        <v>0</v>
      </c>
      <c r="Q145" s="244"/>
      <c r="R145" s="244"/>
      <c r="S145" s="244"/>
      <c r="T145" s="244"/>
      <c r="U145" s="244"/>
    </row>
    <row r="146" spans="3:21" ht="12.5">
      <c r="C146" s="496">
        <f>IF(D94="","-",+C145+1)</f>
        <v>2062</v>
      </c>
      <c r="D146" s="350">
        <f>IF(F145+SUM(E$100:E145)=D$93,F145,D$93-SUM(E$100:E145))</f>
        <v>0</v>
      </c>
      <c r="E146" s="510">
        <f>IF(+J97&lt;F145,J97,D146)</f>
        <v>0</v>
      </c>
      <c r="F146" s="511">
        <f t="shared" si="15"/>
        <v>0</v>
      </c>
      <c r="G146" s="511">
        <f t="shared" si="16"/>
        <v>0</v>
      </c>
      <c r="H146" s="628">
        <f t="shared" si="13"/>
        <v>0</v>
      </c>
      <c r="I146" s="629">
        <f t="shared" si="14"/>
        <v>0</v>
      </c>
      <c r="J146" s="505">
        <f t="shared" si="17"/>
        <v>0</v>
      </c>
      <c r="K146" s="505"/>
      <c r="L146" s="513"/>
      <c r="M146" s="505">
        <f t="shared" si="18"/>
        <v>0</v>
      </c>
      <c r="N146" s="513"/>
      <c r="O146" s="505">
        <f t="shared" si="19"/>
        <v>0</v>
      </c>
      <c r="P146" s="505">
        <f t="shared" si="20"/>
        <v>0</v>
      </c>
      <c r="Q146" s="244"/>
      <c r="R146" s="244"/>
      <c r="S146" s="244"/>
      <c r="T146" s="244"/>
      <c r="U146" s="244"/>
    </row>
    <row r="147" spans="3:21" ht="12.5">
      <c r="C147" s="496">
        <f>IF(D94="","-",+C146+1)</f>
        <v>2063</v>
      </c>
      <c r="D147" s="350">
        <f>IF(F146+SUM(E$100:E146)=D$93,F146,D$93-SUM(E$100:E146))</f>
        <v>0</v>
      </c>
      <c r="E147" s="510">
        <f>IF(+J97&lt;F146,J97,D147)</f>
        <v>0</v>
      </c>
      <c r="F147" s="511">
        <f t="shared" si="15"/>
        <v>0</v>
      </c>
      <c r="G147" s="511">
        <f t="shared" si="16"/>
        <v>0</v>
      </c>
      <c r="H147" s="628">
        <f t="shared" si="13"/>
        <v>0</v>
      </c>
      <c r="I147" s="629">
        <f t="shared" si="14"/>
        <v>0</v>
      </c>
      <c r="J147" s="505">
        <f t="shared" si="17"/>
        <v>0</v>
      </c>
      <c r="K147" s="505"/>
      <c r="L147" s="513"/>
      <c r="M147" s="505">
        <f t="shared" si="18"/>
        <v>0</v>
      </c>
      <c r="N147" s="513"/>
      <c r="O147" s="505">
        <f t="shared" si="19"/>
        <v>0</v>
      </c>
      <c r="P147" s="505">
        <f t="shared" si="20"/>
        <v>0</v>
      </c>
      <c r="Q147" s="244"/>
      <c r="R147" s="244"/>
      <c r="S147" s="244"/>
      <c r="T147" s="244"/>
      <c r="U147" s="244"/>
    </row>
    <row r="148" spans="3:21" ht="12.5">
      <c r="C148" s="496">
        <f>IF(D94="","-",+C147+1)</f>
        <v>2064</v>
      </c>
      <c r="D148" s="350">
        <f>IF(F147+SUM(E$100:E147)=D$93,F147,D$93-SUM(E$100:E147))</f>
        <v>0</v>
      </c>
      <c r="E148" s="510">
        <f>IF(+J97&lt;F147,J97,D148)</f>
        <v>0</v>
      </c>
      <c r="F148" s="511">
        <f t="shared" si="15"/>
        <v>0</v>
      </c>
      <c r="G148" s="511">
        <f t="shared" si="16"/>
        <v>0</v>
      </c>
      <c r="H148" s="628">
        <f t="shared" si="13"/>
        <v>0</v>
      </c>
      <c r="I148" s="629">
        <f t="shared" si="14"/>
        <v>0</v>
      </c>
      <c r="J148" s="505">
        <f t="shared" si="17"/>
        <v>0</v>
      </c>
      <c r="K148" s="505"/>
      <c r="L148" s="513"/>
      <c r="M148" s="505">
        <f t="shared" si="18"/>
        <v>0</v>
      </c>
      <c r="N148" s="513"/>
      <c r="O148" s="505">
        <f t="shared" si="19"/>
        <v>0</v>
      </c>
      <c r="P148" s="505">
        <f t="shared" si="20"/>
        <v>0</v>
      </c>
      <c r="Q148" s="244"/>
      <c r="R148" s="244"/>
      <c r="S148" s="244"/>
      <c r="T148" s="244"/>
      <c r="U148" s="244"/>
    </row>
    <row r="149" spans="3:21" ht="12.5">
      <c r="C149" s="496">
        <f>IF(D94="","-",+C148+1)</f>
        <v>2065</v>
      </c>
      <c r="D149" s="350">
        <f>IF(F148+SUM(E$100:E148)=D$93,F148,D$93-SUM(E$100:E148))</f>
        <v>0</v>
      </c>
      <c r="E149" s="510">
        <f>IF(+J97&lt;F148,J97,D149)</f>
        <v>0</v>
      </c>
      <c r="F149" s="511">
        <f t="shared" si="15"/>
        <v>0</v>
      </c>
      <c r="G149" s="511">
        <f t="shared" si="16"/>
        <v>0</v>
      </c>
      <c r="H149" s="628">
        <f t="shared" si="13"/>
        <v>0</v>
      </c>
      <c r="I149" s="629">
        <f t="shared" si="14"/>
        <v>0</v>
      </c>
      <c r="J149" s="505">
        <f t="shared" si="17"/>
        <v>0</v>
      </c>
      <c r="K149" s="505"/>
      <c r="L149" s="513"/>
      <c r="M149" s="505">
        <f t="shared" si="18"/>
        <v>0</v>
      </c>
      <c r="N149" s="513"/>
      <c r="O149" s="505">
        <f t="shared" si="19"/>
        <v>0</v>
      </c>
      <c r="P149" s="505">
        <f t="shared" si="20"/>
        <v>0</v>
      </c>
      <c r="Q149" s="244"/>
      <c r="R149" s="244"/>
      <c r="S149" s="244"/>
      <c r="T149" s="244"/>
      <c r="U149" s="244"/>
    </row>
    <row r="150" spans="3:21" ht="12.5">
      <c r="C150" s="496">
        <f>IF(D94="","-",+C149+1)</f>
        <v>2066</v>
      </c>
      <c r="D150" s="350">
        <f>IF(F149+SUM(E$100:E149)=D$93,F149,D$93-SUM(E$100:E149))</f>
        <v>0</v>
      </c>
      <c r="E150" s="510">
        <f>IF(+J97&lt;F149,J97,D150)</f>
        <v>0</v>
      </c>
      <c r="F150" s="511">
        <f t="shared" si="15"/>
        <v>0</v>
      </c>
      <c r="G150" s="511">
        <f t="shared" si="16"/>
        <v>0</v>
      </c>
      <c r="H150" s="628">
        <f t="shared" si="13"/>
        <v>0</v>
      </c>
      <c r="I150" s="629">
        <f t="shared" si="14"/>
        <v>0</v>
      </c>
      <c r="J150" s="505">
        <f t="shared" si="17"/>
        <v>0</v>
      </c>
      <c r="K150" s="505"/>
      <c r="L150" s="513"/>
      <c r="M150" s="505">
        <f t="shared" si="18"/>
        <v>0</v>
      </c>
      <c r="N150" s="513"/>
      <c r="O150" s="505">
        <f t="shared" si="19"/>
        <v>0</v>
      </c>
      <c r="P150" s="505">
        <f t="shared" si="20"/>
        <v>0</v>
      </c>
      <c r="Q150" s="244"/>
      <c r="R150" s="244"/>
      <c r="S150" s="244"/>
      <c r="T150" s="244"/>
      <c r="U150" s="244"/>
    </row>
    <row r="151" spans="3:21" ht="12.5">
      <c r="C151" s="496">
        <f>IF(D94="","-",+C150+1)</f>
        <v>2067</v>
      </c>
      <c r="D151" s="350">
        <f>IF(F150+SUM(E$100:E150)=D$93,F150,D$93-SUM(E$100:E150))</f>
        <v>0</v>
      </c>
      <c r="E151" s="510">
        <f>IF(+J97&lt;F150,J97,D151)</f>
        <v>0</v>
      </c>
      <c r="F151" s="511">
        <f t="shared" si="15"/>
        <v>0</v>
      </c>
      <c r="G151" s="511">
        <f t="shared" si="16"/>
        <v>0</v>
      </c>
      <c r="H151" s="628">
        <f t="shared" si="13"/>
        <v>0</v>
      </c>
      <c r="I151" s="629">
        <f t="shared" si="14"/>
        <v>0</v>
      </c>
      <c r="J151" s="505">
        <f t="shared" si="17"/>
        <v>0</v>
      </c>
      <c r="K151" s="505"/>
      <c r="L151" s="513"/>
      <c r="M151" s="505">
        <f t="shared" si="18"/>
        <v>0</v>
      </c>
      <c r="N151" s="513"/>
      <c r="O151" s="505">
        <f t="shared" si="19"/>
        <v>0</v>
      </c>
      <c r="P151" s="505">
        <f t="shared" si="20"/>
        <v>0</v>
      </c>
      <c r="Q151" s="244"/>
      <c r="R151" s="244"/>
      <c r="S151" s="244"/>
      <c r="T151" s="244"/>
      <c r="U151" s="244"/>
    </row>
    <row r="152" spans="3:21" ht="12.5">
      <c r="C152" s="496">
        <f>IF(D94="","-",+C151+1)</f>
        <v>2068</v>
      </c>
      <c r="D152" s="350">
        <f>IF(F151+SUM(E$100:E151)=D$93,F151,D$93-SUM(E$100:E151))</f>
        <v>0</v>
      </c>
      <c r="E152" s="510">
        <f>IF(+J97&lt;F151,J97,D152)</f>
        <v>0</v>
      </c>
      <c r="F152" s="511">
        <f t="shared" si="15"/>
        <v>0</v>
      </c>
      <c r="G152" s="511">
        <f t="shared" si="16"/>
        <v>0</v>
      </c>
      <c r="H152" s="628">
        <f t="shared" si="13"/>
        <v>0</v>
      </c>
      <c r="I152" s="629">
        <f t="shared" si="14"/>
        <v>0</v>
      </c>
      <c r="J152" s="505">
        <f t="shared" si="17"/>
        <v>0</v>
      </c>
      <c r="K152" s="505"/>
      <c r="L152" s="513"/>
      <c r="M152" s="505">
        <f t="shared" si="18"/>
        <v>0</v>
      </c>
      <c r="N152" s="513"/>
      <c r="O152" s="505">
        <f t="shared" si="19"/>
        <v>0</v>
      </c>
      <c r="P152" s="505">
        <f t="shared" si="20"/>
        <v>0</v>
      </c>
      <c r="Q152" s="244"/>
      <c r="R152" s="244"/>
      <c r="S152" s="244"/>
      <c r="T152" s="244"/>
      <c r="U152" s="244"/>
    </row>
    <row r="153" spans="3:21" ht="12.5">
      <c r="C153" s="496">
        <f>IF(D94="","-",+C152+1)</f>
        <v>2069</v>
      </c>
      <c r="D153" s="350">
        <f>IF(F152+SUM(E$100:E152)=D$93,F152,D$93-SUM(E$100:E152))</f>
        <v>0</v>
      </c>
      <c r="E153" s="510">
        <f>IF(+J97&lt;F152,J97,D153)</f>
        <v>0</v>
      </c>
      <c r="F153" s="511">
        <f t="shared" si="15"/>
        <v>0</v>
      </c>
      <c r="G153" s="511">
        <f t="shared" si="16"/>
        <v>0</v>
      </c>
      <c r="H153" s="628">
        <f t="shared" si="13"/>
        <v>0</v>
      </c>
      <c r="I153" s="629">
        <f t="shared" si="14"/>
        <v>0</v>
      </c>
      <c r="J153" s="505">
        <f t="shared" si="17"/>
        <v>0</v>
      </c>
      <c r="K153" s="505"/>
      <c r="L153" s="513"/>
      <c r="M153" s="505">
        <f t="shared" si="18"/>
        <v>0</v>
      </c>
      <c r="N153" s="513"/>
      <c r="O153" s="505">
        <f t="shared" si="19"/>
        <v>0</v>
      </c>
      <c r="P153" s="505">
        <f t="shared" si="20"/>
        <v>0</v>
      </c>
      <c r="Q153" s="244"/>
      <c r="R153" s="244"/>
      <c r="S153" s="244"/>
      <c r="T153" s="244"/>
      <c r="U153" s="244"/>
    </row>
    <row r="154" spans="3:21" ht="12.5">
      <c r="C154" s="496">
        <f>IF(D94="","-",+C153+1)</f>
        <v>2070</v>
      </c>
      <c r="D154" s="350">
        <f>IF(F153+SUM(E$100:E153)=D$93,F153,D$93-SUM(E$100:E153))</f>
        <v>0</v>
      </c>
      <c r="E154" s="510">
        <f>IF(+J97&lt;F153,J97,D154)</f>
        <v>0</v>
      </c>
      <c r="F154" s="511">
        <f t="shared" si="15"/>
        <v>0</v>
      </c>
      <c r="G154" s="511">
        <f t="shared" si="16"/>
        <v>0</v>
      </c>
      <c r="H154" s="628">
        <f t="shared" si="13"/>
        <v>0</v>
      </c>
      <c r="I154" s="629">
        <f t="shared" si="14"/>
        <v>0</v>
      </c>
      <c r="J154" s="505">
        <f t="shared" si="17"/>
        <v>0</v>
      </c>
      <c r="K154" s="505"/>
      <c r="L154" s="513"/>
      <c r="M154" s="505">
        <f t="shared" si="18"/>
        <v>0</v>
      </c>
      <c r="N154" s="513"/>
      <c r="O154" s="505">
        <f t="shared" si="19"/>
        <v>0</v>
      </c>
      <c r="P154" s="505">
        <f t="shared" si="20"/>
        <v>0</v>
      </c>
      <c r="Q154" s="244"/>
      <c r="R154" s="244"/>
      <c r="S154" s="244"/>
      <c r="T154" s="244"/>
      <c r="U154" s="244"/>
    </row>
    <row r="155" spans="3:21" ht="13" thickBot="1">
      <c r="C155" s="525">
        <f>IF(D94="","-",+C154+1)</f>
        <v>2071</v>
      </c>
      <c r="D155" s="639">
        <f>IF(F154+SUM(E$100:E154)=D$93,F154,D$93-SUM(E$100:E154))</f>
        <v>0</v>
      </c>
      <c r="E155" s="527">
        <f>IF(+J97&lt;F154,J97,D155)</f>
        <v>0</v>
      </c>
      <c r="F155" s="528">
        <f t="shared" si="15"/>
        <v>0</v>
      </c>
      <c r="G155" s="528">
        <f t="shared" si="16"/>
        <v>0</v>
      </c>
      <c r="H155" s="624">
        <f t="shared" si="13"/>
        <v>0</v>
      </c>
      <c r="I155" s="625">
        <f t="shared" si="14"/>
        <v>0</v>
      </c>
      <c r="J155" s="532">
        <f t="shared" si="17"/>
        <v>0</v>
      </c>
      <c r="K155" s="505"/>
      <c r="L155" s="531"/>
      <c r="M155" s="532">
        <f t="shared" si="18"/>
        <v>0</v>
      </c>
      <c r="N155" s="531"/>
      <c r="O155" s="532">
        <f t="shared" si="19"/>
        <v>0</v>
      </c>
      <c r="P155" s="532">
        <f t="shared" si="20"/>
        <v>0</v>
      </c>
      <c r="Q155" s="244"/>
      <c r="R155" s="244"/>
      <c r="S155" s="244"/>
      <c r="T155" s="244"/>
      <c r="U155" s="244"/>
    </row>
    <row r="156" spans="3:21" ht="12.5">
      <c r="C156" s="350" t="s">
        <v>75</v>
      </c>
      <c r="D156" s="295"/>
      <c r="E156" s="295">
        <f>SUM(E100:E155)</f>
        <v>68247469.000000015</v>
      </c>
      <c r="F156" s="295"/>
      <c r="G156" s="295"/>
      <c r="H156" s="295">
        <f>SUM(H100:H155)</f>
        <v>188192585.09190735</v>
      </c>
      <c r="I156" s="295">
        <f>SUM(I100:I155)</f>
        <v>188192585.09190735</v>
      </c>
      <c r="J156" s="295">
        <f>SUM(J100:J155)</f>
        <v>0</v>
      </c>
      <c r="K156" s="295"/>
      <c r="L156" s="295"/>
      <c r="M156" s="295"/>
      <c r="N156" s="295"/>
      <c r="O156" s="295"/>
      <c r="P156" s="244"/>
      <c r="Q156" s="244"/>
      <c r="R156" s="244"/>
      <c r="S156" s="244"/>
      <c r="T156" s="244"/>
      <c r="U156" s="244"/>
    </row>
    <row r="157" spans="3:21" ht="12.5">
      <c r="C157" s="145" t="s">
        <v>90</v>
      </c>
      <c r="D157" s="293"/>
      <c r="E157" s="244"/>
      <c r="F157" s="244"/>
      <c r="G157" s="244"/>
      <c r="H157" s="244"/>
      <c r="I157" s="326"/>
      <c r="J157" s="326"/>
      <c r="K157" s="295"/>
      <c r="L157" s="326"/>
      <c r="M157" s="326"/>
      <c r="N157" s="326"/>
      <c r="O157" s="326"/>
      <c r="P157" s="244"/>
      <c r="Q157" s="244"/>
      <c r="R157" s="244"/>
      <c r="S157" s="244"/>
      <c r="T157" s="244"/>
      <c r="U157" s="244"/>
    </row>
    <row r="158" spans="3:21" ht="12.5">
      <c r="C158" s="575"/>
      <c r="D158" s="293"/>
      <c r="E158" s="244"/>
      <c r="F158" s="244"/>
      <c r="G158" s="244"/>
      <c r="H158" s="244"/>
      <c r="I158" s="326"/>
      <c r="J158" s="326"/>
      <c r="K158" s="295"/>
      <c r="L158" s="326"/>
      <c r="M158" s="326"/>
      <c r="N158" s="326"/>
      <c r="O158" s="326"/>
      <c r="P158" s="244"/>
      <c r="Q158" s="244"/>
      <c r="R158" s="244"/>
      <c r="S158" s="244"/>
      <c r="T158" s="244"/>
      <c r="U158" s="244"/>
    </row>
    <row r="159" spans="3:21" ht="13">
      <c r="C159" s="620" t="s">
        <v>130</v>
      </c>
      <c r="D159" s="293"/>
      <c r="E159" s="244"/>
      <c r="F159" s="244"/>
      <c r="G159" s="244"/>
      <c r="H159" s="244"/>
      <c r="I159" s="326"/>
      <c r="J159" s="326"/>
      <c r="K159" s="295"/>
      <c r="L159" s="326"/>
      <c r="M159" s="326"/>
      <c r="N159" s="326"/>
      <c r="O159" s="326"/>
      <c r="P159" s="244"/>
      <c r="Q159" s="244"/>
      <c r="R159" s="244"/>
      <c r="S159" s="244"/>
      <c r="T159" s="244"/>
      <c r="U159" s="244"/>
    </row>
    <row r="160" spans="3:21" ht="13">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ht="13">
      <c r="C162" s="576"/>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21" priority="1" stopIfTrue="1" operator="equal">
      <formula>$I$10</formula>
    </cfRule>
  </conditionalFormatting>
  <conditionalFormatting sqref="C100:C155">
    <cfRule type="cellIs" dxfId="20"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U163"/>
  <sheetViews>
    <sheetView view="pageBreakPreview" zoomScale="85" zoomScaleNormal="100" workbookViewId="0">
      <selection activeCell="D10" sqref="D10"/>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"&amp;RIGHT(MID(CELL("filename",$A$1),FIND("]",CELL("filename",$A$1))+1,256),2)&amp;" of "&amp;COUNT('OKT.001:OKT.xyz - blank'!$P$3)-1</f>
        <v>OKT Project 15 of 19</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1363844.0888504181</v>
      </c>
      <c r="P5" s="244"/>
      <c r="R5" s="244"/>
      <c r="S5" s="244"/>
      <c r="T5" s="244"/>
      <c r="U5" s="244"/>
    </row>
    <row r="6" spans="1:21" ht="15.5">
      <c r="C6" s="236"/>
      <c r="D6" s="293"/>
      <c r="E6" s="244"/>
      <c r="F6" s="244"/>
      <c r="G6" s="244"/>
      <c r="H6" s="450"/>
      <c r="I6" s="450"/>
      <c r="J6" s="451"/>
      <c r="K6" s="452" t="s">
        <v>243</v>
      </c>
      <c r="L6" s="453"/>
      <c r="M6" s="279"/>
      <c r="N6" s="454">
        <f>VLOOKUP(I10,C17:I73,6)</f>
        <v>1363844.0888504181</v>
      </c>
      <c r="O6" s="244"/>
      <c r="P6" s="244"/>
      <c r="R6" s="244"/>
      <c r="S6" s="244"/>
      <c r="T6" s="244"/>
      <c r="U6" s="244"/>
    </row>
    <row r="7" spans="1:21" ht="13.5" thickBot="1">
      <c r="C7" s="455" t="s">
        <v>46</v>
      </c>
      <c r="D7" s="456" t="s">
        <v>244</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A9" s="152"/>
      <c r="C9" s="464" t="s">
        <v>48</v>
      </c>
      <c r="D9" s="465">
        <v>30619</v>
      </c>
      <c r="E9" s="466"/>
      <c r="F9" s="466"/>
      <c r="G9" s="466"/>
      <c r="H9" s="466"/>
      <c r="I9" s="467"/>
      <c r="J9" s="468"/>
      <c r="O9" s="469"/>
      <c r="P9" s="279"/>
      <c r="R9" s="244"/>
      <c r="S9" s="244"/>
      <c r="T9" s="244"/>
      <c r="U9" s="244"/>
    </row>
    <row r="10" spans="1:21" ht="13">
      <c r="C10" s="470" t="s">
        <v>49</v>
      </c>
      <c r="D10" s="471">
        <v>11056565</v>
      </c>
      <c r="E10" s="300" t="s">
        <v>50</v>
      </c>
      <c r="F10" s="469"/>
      <c r="G10" s="409"/>
      <c r="H10" s="409"/>
      <c r="I10" s="472">
        <f>+OKT.WS.F.BPU.ATRR.Projected!R100</f>
        <v>2019</v>
      </c>
      <c r="J10" s="468"/>
      <c r="K10" s="295" t="s">
        <v>51</v>
      </c>
      <c r="O10" s="279"/>
      <c r="P10" s="279"/>
      <c r="R10" s="244"/>
      <c r="S10" s="244"/>
      <c r="T10" s="244"/>
      <c r="U10" s="244"/>
    </row>
    <row r="11" spans="1:21" ht="12.5">
      <c r="C11" s="473" t="s">
        <v>52</v>
      </c>
      <c r="D11" s="474">
        <v>2017</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6</v>
      </c>
      <c r="E12" s="473" t="s">
        <v>55</v>
      </c>
      <c r="F12" s="409"/>
      <c r="G12" s="221"/>
      <c r="H12" s="221"/>
      <c r="I12" s="477">
        <f>OKT.WS.F.BPU.ATRR.Projected!$F$78</f>
        <v>0.11749102697326873</v>
      </c>
      <c r="J12" s="579"/>
      <c r="K12" s="145" t="s">
        <v>56</v>
      </c>
      <c r="O12" s="279"/>
      <c r="P12" s="279"/>
      <c r="R12" s="244"/>
      <c r="S12" s="244"/>
      <c r="T12" s="244"/>
      <c r="U12" s="244"/>
    </row>
    <row r="13" spans="1:21" ht="12.5">
      <c r="C13" s="473" t="s">
        <v>57</v>
      </c>
      <c r="D13" s="475">
        <f>OKT.WS.F.BPU.ATRR.Projected!F89</f>
        <v>41</v>
      </c>
      <c r="E13" s="473" t="s">
        <v>58</v>
      </c>
      <c r="F13" s="409"/>
      <c r="G13" s="221"/>
      <c r="H13" s="221"/>
      <c r="I13" s="477">
        <f>IF(G5="",I12,OKT.WS.F.BPU.ATRR.Projected!$F$77)</f>
        <v>0.11749102697326873</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269672.31707317074</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73" si="0">IF(D17=F16,"","IU")</f>
        <v>IU</v>
      </c>
      <c r="C17" s="581">
        <f>IF(D11= "","-",D11)</f>
        <v>2017</v>
      </c>
      <c r="D17" s="613">
        <v>0</v>
      </c>
      <c r="E17" s="621">
        <v>104355.95770200831</v>
      </c>
      <c r="F17" s="613">
        <v>10510644.042297991</v>
      </c>
      <c r="G17" s="621">
        <v>682125.91542676068</v>
      </c>
      <c r="H17" s="618">
        <v>682125.91542676068</v>
      </c>
      <c r="I17" s="501">
        <f>H17-G17</f>
        <v>0</v>
      </c>
      <c r="J17" s="501"/>
      <c r="K17" s="507">
        <f>+G17</f>
        <v>682125.91542676068</v>
      </c>
      <c r="L17" s="505">
        <f>IF(K17&lt;&gt;0,+G17-K17,0)</f>
        <v>0</v>
      </c>
      <c r="M17" s="507">
        <f>+H17</f>
        <v>682125.91542676068</v>
      </c>
      <c r="N17" s="587">
        <f t="shared" ref="N17:N73" si="1">IF(M17&lt;&gt;0,+H17-M17,0)</f>
        <v>0</v>
      </c>
      <c r="O17" s="505">
        <f t="shared" ref="O17:O73" si="2">+N17-L17</f>
        <v>0</v>
      </c>
      <c r="P17" s="279"/>
      <c r="R17" s="244"/>
      <c r="S17" s="244"/>
      <c r="T17" s="244"/>
      <c r="U17" s="244"/>
    </row>
    <row r="18" spans="2:21" ht="12.5">
      <c r="B18" s="145" t="str">
        <f t="shared" si="0"/>
        <v/>
      </c>
      <c r="C18" s="496">
        <f>IF(D11="","-",+C17+1)</f>
        <v>2018</v>
      </c>
      <c r="D18" s="615">
        <v>10510644.042297991</v>
      </c>
      <c r="E18" s="614">
        <v>260328.43725382842</v>
      </c>
      <c r="F18" s="615">
        <v>10250315.605044162</v>
      </c>
      <c r="G18" s="614">
        <v>1315230.681782007</v>
      </c>
      <c r="H18" s="618">
        <v>1315230.681782007</v>
      </c>
      <c r="I18" s="501">
        <f>H18-G18</f>
        <v>0</v>
      </c>
      <c r="J18" s="501"/>
      <c r="K18" s="593">
        <f>+G18</f>
        <v>1315230.681782007</v>
      </c>
      <c r="L18" s="597">
        <f>IF(K18&lt;&gt;0,+G18-K18,0)</f>
        <v>0</v>
      </c>
      <c r="M18" s="593">
        <f>+H18</f>
        <v>1315230.681782007</v>
      </c>
      <c r="N18" s="505">
        <f>IF(M18&lt;&gt;0,+H18-M18,0)</f>
        <v>0</v>
      </c>
      <c r="O18" s="505">
        <f>+N18-L18</f>
        <v>0</v>
      </c>
      <c r="P18" s="279"/>
      <c r="R18" s="244"/>
      <c r="S18" s="244"/>
      <c r="T18" s="244"/>
      <c r="U18" s="244"/>
    </row>
    <row r="19" spans="2:21" ht="12.5">
      <c r="B19" s="145" t="str">
        <f t="shared" si="0"/>
        <v/>
      </c>
      <c r="C19" s="496">
        <f>IF(D11="","-",+C18+1)</f>
        <v>2019</v>
      </c>
      <c r="D19" s="615">
        <v>10250315.605044162</v>
      </c>
      <c r="E19" s="614">
        <v>314828.66007880151</v>
      </c>
      <c r="F19" s="615">
        <v>9935486.9449653607</v>
      </c>
      <c r="G19" s="614">
        <v>1363844.0888504181</v>
      </c>
      <c r="H19" s="618">
        <v>1363844.0888504181</v>
      </c>
      <c r="I19" s="501">
        <f>H19-G19</f>
        <v>0</v>
      </c>
      <c r="J19" s="501"/>
      <c r="K19" s="593">
        <f>+G19</f>
        <v>1363844.0888504181</v>
      </c>
      <c r="L19" s="597">
        <f>IF(K19&lt;&gt;0,+G19-K19,0)</f>
        <v>0</v>
      </c>
      <c r="M19" s="593">
        <f>+H19</f>
        <v>1363844.0888504181</v>
      </c>
      <c r="N19" s="505">
        <f>IF(M19&lt;&gt;0,+H19-M19,0)</f>
        <v>0</v>
      </c>
      <c r="O19" s="505">
        <f>+N19-L19</f>
        <v>0</v>
      </c>
      <c r="P19" s="279"/>
      <c r="R19" s="244"/>
      <c r="S19" s="244"/>
      <c r="T19" s="244"/>
      <c r="U19" s="244"/>
    </row>
    <row r="20" spans="2:21" ht="12.5">
      <c r="B20" s="145" t="str">
        <f t="shared" si="0"/>
        <v>IU</v>
      </c>
      <c r="C20" s="496">
        <f>IF(D11="","-",+C19+1)</f>
        <v>2020</v>
      </c>
      <c r="D20" s="511">
        <f>IF(F19+SUM(E$17:E19)=D$10,F19,D$10-SUM(E$17:E19))</f>
        <v>10377051.944965363</v>
      </c>
      <c r="E20" s="510">
        <f t="shared" ref="E20:E40" si="3">IF(+I$14&lt;F19,I$14,D20)</f>
        <v>269672.31707317074</v>
      </c>
      <c r="F20" s="511">
        <f>+D20-E20</f>
        <v>10107379.627892192</v>
      </c>
      <c r="G20" s="512">
        <f t="shared" ref="G20:G73" si="4">(D20+F20)/2*I$12+E20</f>
        <v>1473040.7683025131</v>
      </c>
      <c r="H20" s="478">
        <f t="shared" ref="H20:H73" si="5">+(D20+F20)/2*I$13+E20</f>
        <v>1473040.7683025131</v>
      </c>
      <c r="I20" s="501">
        <f>H20-G20</f>
        <v>0</v>
      </c>
      <c r="J20" s="501"/>
      <c r="K20" s="513"/>
      <c r="L20" s="505">
        <f t="shared" ref="L20:L73" si="6">IF(K20&lt;&gt;0,+G20-K20,0)</f>
        <v>0</v>
      </c>
      <c r="M20" s="513"/>
      <c r="N20" s="505">
        <f t="shared" si="1"/>
        <v>0</v>
      </c>
      <c r="O20" s="505">
        <f t="shared" si="2"/>
        <v>0</v>
      </c>
      <c r="P20" s="279"/>
      <c r="R20" s="244"/>
      <c r="S20" s="244"/>
      <c r="T20" s="244"/>
      <c r="U20" s="244"/>
    </row>
    <row r="21" spans="2:21" ht="12.5">
      <c r="B21" s="145" t="str">
        <f t="shared" si="0"/>
        <v/>
      </c>
      <c r="C21" s="496">
        <f>IF(D12="","-",+C20+1)</f>
        <v>2021</v>
      </c>
      <c r="D21" s="509">
        <f>IF(F20+SUM(E$17:E20)=D$10,F20,D$10-SUM(E$17:E20))</f>
        <v>10107379.627892192</v>
      </c>
      <c r="E21" s="510">
        <f t="shared" si="3"/>
        <v>269672.31707317074</v>
      </c>
      <c r="F21" s="511">
        <f t="shared" ref="F21:F73" si="7">+D21-E21</f>
        <v>9837707.3108190224</v>
      </c>
      <c r="G21" s="512">
        <f>(D21+F21)/2*I$12+E21</f>
        <v>1441356.6908233254</v>
      </c>
      <c r="H21" s="478">
        <f t="shared" si="5"/>
        <v>1441356.6908233254</v>
      </c>
      <c r="I21" s="501">
        <f t="shared" ref="I21:I73" si="8">H21-G21</f>
        <v>0</v>
      </c>
      <c r="J21" s="501"/>
      <c r="K21" s="513"/>
      <c r="L21" s="505">
        <f t="shared" si="6"/>
        <v>0</v>
      </c>
      <c r="M21" s="513"/>
      <c r="N21" s="505">
        <f t="shared" si="1"/>
        <v>0</v>
      </c>
      <c r="O21" s="505">
        <f t="shared" si="2"/>
        <v>0</v>
      </c>
      <c r="P21" s="279"/>
      <c r="R21" s="244"/>
      <c r="S21" s="244"/>
      <c r="T21" s="244"/>
      <c r="U21" s="244"/>
    </row>
    <row r="22" spans="2:21" ht="12.5">
      <c r="B22" s="145" t="str">
        <f t="shared" si="0"/>
        <v/>
      </c>
      <c r="C22" s="496">
        <f>IF(D11="","-",+C21+1)</f>
        <v>2022</v>
      </c>
      <c r="D22" s="509">
        <f>IF(F21+SUM(E$17:E21)=D$10,F21,D$10-SUM(E$17:E21))</f>
        <v>9837707.3108190224</v>
      </c>
      <c r="E22" s="510">
        <f t="shared" si="3"/>
        <v>269672.31707317074</v>
      </c>
      <c r="F22" s="511">
        <f t="shared" si="7"/>
        <v>9568034.9937458523</v>
      </c>
      <c r="G22" s="512">
        <f t="shared" si="4"/>
        <v>1409672.6133441376</v>
      </c>
      <c r="H22" s="478">
        <f t="shared" si="5"/>
        <v>1409672.6133441376</v>
      </c>
      <c r="I22" s="501">
        <f t="shared" si="8"/>
        <v>0</v>
      </c>
      <c r="J22" s="501"/>
      <c r="K22" s="513"/>
      <c r="L22" s="505">
        <f t="shared" si="6"/>
        <v>0</v>
      </c>
      <c r="M22" s="513"/>
      <c r="N22" s="505">
        <f t="shared" si="1"/>
        <v>0</v>
      </c>
      <c r="O22" s="505">
        <f t="shared" si="2"/>
        <v>0</v>
      </c>
      <c r="P22" s="279"/>
      <c r="R22" s="244"/>
      <c r="S22" s="244"/>
      <c r="T22" s="244"/>
      <c r="U22" s="244"/>
    </row>
    <row r="23" spans="2:21" ht="12.5">
      <c r="B23" s="145" t="str">
        <f t="shared" si="0"/>
        <v/>
      </c>
      <c r="C23" s="496">
        <f>IF(D11="","-",+C22+1)</f>
        <v>2023</v>
      </c>
      <c r="D23" s="509">
        <f>IF(F22+SUM(E$17:E22)=D$10,F22,D$10-SUM(E$17:E22))</f>
        <v>9568034.9937458523</v>
      </c>
      <c r="E23" s="510">
        <f t="shared" si="3"/>
        <v>269672.31707317074</v>
      </c>
      <c r="F23" s="511">
        <f t="shared" si="7"/>
        <v>9298362.6766726822</v>
      </c>
      <c r="G23" s="512">
        <f t="shared" si="4"/>
        <v>1377988.5358649499</v>
      </c>
      <c r="H23" s="478">
        <f t="shared" si="5"/>
        <v>1377988.5358649499</v>
      </c>
      <c r="I23" s="501">
        <f t="shared" si="8"/>
        <v>0</v>
      </c>
      <c r="J23" s="501"/>
      <c r="K23" s="513"/>
      <c r="L23" s="505">
        <f t="shared" si="6"/>
        <v>0</v>
      </c>
      <c r="M23" s="513"/>
      <c r="N23" s="505">
        <f t="shared" si="1"/>
        <v>0</v>
      </c>
      <c r="O23" s="505">
        <f t="shared" si="2"/>
        <v>0</v>
      </c>
      <c r="P23" s="279"/>
      <c r="R23" s="244"/>
      <c r="S23" s="244"/>
      <c r="T23" s="244"/>
      <c r="U23" s="244"/>
    </row>
    <row r="24" spans="2:21" ht="12.5">
      <c r="B24" s="145" t="str">
        <f t="shared" si="0"/>
        <v/>
      </c>
      <c r="C24" s="496">
        <f>IF(D11="","-",+C23+1)</f>
        <v>2024</v>
      </c>
      <c r="D24" s="509">
        <f>IF(F23+SUM(E$17:E23)=D$10,F23,D$10-SUM(E$17:E23))</f>
        <v>9298362.6766726822</v>
      </c>
      <c r="E24" s="510">
        <f t="shared" si="3"/>
        <v>269672.31707317074</v>
      </c>
      <c r="F24" s="511">
        <f t="shared" si="7"/>
        <v>9028690.3595995121</v>
      </c>
      <c r="G24" s="512">
        <f t="shared" si="4"/>
        <v>1346304.4583857623</v>
      </c>
      <c r="H24" s="478">
        <f t="shared" si="5"/>
        <v>1346304.4583857623</v>
      </c>
      <c r="I24" s="501">
        <f t="shared" si="8"/>
        <v>0</v>
      </c>
      <c r="J24" s="501"/>
      <c r="K24" s="513"/>
      <c r="L24" s="505">
        <f t="shared" si="6"/>
        <v>0</v>
      </c>
      <c r="M24" s="513"/>
      <c r="N24" s="505">
        <f t="shared" si="1"/>
        <v>0</v>
      </c>
      <c r="O24" s="505">
        <f t="shared" si="2"/>
        <v>0</v>
      </c>
      <c r="P24" s="279"/>
      <c r="R24" s="244"/>
      <c r="S24" s="244"/>
      <c r="T24" s="244"/>
      <c r="U24" s="244"/>
    </row>
    <row r="25" spans="2:21" ht="12.5">
      <c r="B25" s="145" t="str">
        <f t="shared" si="0"/>
        <v/>
      </c>
      <c r="C25" s="496">
        <f>IF(D11="","-",+C24+1)</f>
        <v>2025</v>
      </c>
      <c r="D25" s="509">
        <f>IF(F24+SUM(E$17:E24)=D$10,F24,D$10-SUM(E$17:E24))</f>
        <v>9028690.3595995121</v>
      </c>
      <c r="E25" s="510">
        <f t="shared" si="3"/>
        <v>269672.31707317074</v>
      </c>
      <c r="F25" s="511">
        <f t="shared" si="7"/>
        <v>8759018.042526342</v>
      </c>
      <c r="G25" s="512">
        <f t="shared" si="4"/>
        <v>1314620.3809065744</v>
      </c>
      <c r="H25" s="478">
        <f t="shared" si="5"/>
        <v>1314620.3809065744</v>
      </c>
      <c r="I25" s="501">
        <f t="shared" si="8"/>
        <v>0</v>
      </c>
      <c r="J25" s="501"/>
      <c r="K25" s="513"/>
      <c r="L25" s="505">
        <f t="shared" si="6"/>
        <v>0</v>
      </c>
      <c r="M25" s="513"/>
      <c r="N25" s="505">
        <f t="shared" si="1"/>
        <v>0</v>
      </c>
      <c r="O25" s="505">
        <f t="shared" si="2"/>
        <v>0</v>
      </c>
      <c r="P25" s="279"/>
      <c r="R25" s="244"/>
      <c r="S25" s="244"/>
      <c r="T25" s="244"/>
      <c r="U25" s="244"/>
    </row>
    <row r="26" spans="2:21" ht="12.5">
      <c r="B26" s="145" t="str">
        <f t="shared" si="0"/>
        <v/>
      </c>
      <c r="C26" s="496">
        <f>IF(D11="","-",+C25+1)</f>
        <v>2026</v>
      </c>
      <c r="D26" s="509">
        <f>IF(F25+SUM(E$17:E25)=D$10,F25,D$10-SUM(E$17:E25))</f>
        <v>8759018.042526342</v>
      </c>
      <c r="E26" s="510">
        <f t="shared" si="3"/>
        <v>269672.31707317074</v>
      </c>
      <c r="F26" s="511">
        <f t="shared" si="7"/>
        <v>8489345.7254531719</v>
      </c>
      <c r="G26" s="512">
        <f t="shared" si="4"/>
        <v>1282936.3034273868</v>
      </c>
      <c r="H26" s="478">
        <f t="shared" si="5"/>
        <v>1282936.3034273868</v>
      </c>
      <c r="I26" s="501">
        <f t="shared" si="8"/>
        <v>0</v>
      </c>
      <c r="J26" s="501"/>
      <c r="K26" s="513"/>
      <c r="L26" s="505">
        <f t="shared" si="6"/>
        <v>0</v>
      </c>
      <c r="M26" s="513"/>
      <c r="N26" s="505">
        <f t="shared" si="1"/>
        <v>0</v>
      </c>
      <c r="O26" s="505">
        <f t="shared" si="2"/>
        <v>0</v>
      </c>
      <c r="P26" s="279"/>
      <c r="R26" s="244"/>
      <c r="S26" s="244"/>
      <c r="T26" s="244"/>
      <c r="U26" s="244"/>
    </row>
    <row r="27" spans="2:21" ht="12.5">
      <c r="B27" s="145" t="str">
        <f t="shared" si="0"/>
        <v/>
      </c>
      <c r="C27" s="496">
        <f>IF(D11="","-",+C26+1)</f>
        <v>2027</v>
      </c>
      <c r="D27" s="509">
        <f>IF(F26+SUM(E$17:E26)=D$10,F26,D$10-SUM(E$17:E26))</f>
        <v>8489345.7254531719</v>
      </c>
      <c r="E27" s="510">
        <f t="shared" si="3"/>
        <v>269672.31707317074</v>
      </c>
      <c r="F27" s="511">
        <f t="shared" si="7"/>
        <v>8219673.4083800009</v>
      </c>
      <c r="G27" s="512">
        <f t="shared" si="4"/>
        <v>1251252.2259481992</v>
      </c>
      <c r="H27" s="478">
        <f t="shared" si="5"/>
        <v>1251252.2259481992</v>
      </c>
      <c r="I27" s="501">
        <f t="shared" si="8"/>
        <v>0</v>
      </c>
      <c r="J27" s="501"/>
      <c r="K27" s="513"/>
      <c r="L27" s="505">
        <f t="shared" si="6"/>
        <v>0</v>
      </c>
      <c r="M27" s="513"/>
      <c r="N27" s="505">
        <f t="shared" si="1"/>
        <v>0</v>
      </c>
      <c r="O27" s="505">
        <f t="shared" si="2"/>
        <v>0</v>
      </c>
      <c r="P27" s="279"/>
      <c r="R27" s="244"/>
      <c r="S27" s="244"/>
      <c r="T27" s="244"/>
      <c r="U27" s="244"/>
    </row>
    <row r="28" spans="2:21" ht="12.5">
      <c r="B28" s="145" t="str">
        <f t="shared" si="0"/>
        <v/>
      </c>
      <c r="C28" s="496">
        <f>IF(D11="","-",+C27+1)</f>
        <v>2028</v>
      </c>
      <c r="D28" s="509">
        <f>IF(F27+SUM(E$17:E27)=D$10,F27,D$10-SUM(E$17:E27))</f>
        <v>8219673.4083800009</v>
      </c>
      <c r="E28" s="510">
        <f t="shared" si="3"/>
        <v>269672.31707317074</v>
      </c>
      <c r="F28" s="511">
        <f t="shared" si="7"/>
        <v>7950001.0913068298</v>
      </c>
      <c r="G28" s="512">
        <f t="shared" si="4"/>
        <v>1219568.1484690111</v>
      </c>
      <c r="H28" s="478">
        <f t="shared" si="5"/>
        <v>1219568.1484690111</v>
      </c>
      <c r="I28" s="501">
        <f t="shared" si="8"/>
        <v>0</v>
      </c>
      <c r="J28" s="501"/>
      <c r="K28" s="513"/>
      <c r="L28" s="505">
        <f t="shared" si="6"/>
        <v>0</v>
      </c>
      <c r="M28" s="513"/>
      <c r="N28" s="505">
        <f t="shared" si="1"/>
        <v>0</v>
      </c>
      <c r="O28" s="505">
        <f t="shared" si="2"/>
        <v>0</v>
      </c>
      <c r="P28" s="279"/>
      <c r="R28" s="244"/>
      <c r="S28" s="244"/>
      <c r="T28" s="244"/>
      <c r="U28" s="244"/>
    </row>
    <row r="29" spans="2:21" ht="12.5">
      <c r="B29" s="145" t="str">
        <f t="shared" si="0"/>
        <v/>
      </c>
      <c r="C29" s="496">
        <f>IF(D11="","-",+C28+1)</f>
        <v>2029</v>
      </c>
      <c r="D29" s="509">
        <f>IF(F28+SUM(E$17:E28)=D$10,F28,D$10-SUM(E$17:E28))</f>
        <v>7950001.0913068298</v>
      </c>
      <c r="E29" s="510">
        <f t="shared" si="3"/>
        <v>269672.31707317074</v>
      </c>
      <c r="F29" s="511">
        <f t="shared" si="7"/>
        <v>7680328.7742336588</v>
      </c>
      <c r="G29" s="512">
        <f t="shared" si="4"/>
        <v>1187884.0709898234</v>
      </c>
      <c r="H29" s="478">
        <f t="shared" si="5"/>
        <v>1187884.0709898234</v>
      </c>
      <c r="I29" s="501">
        <f t="shared" si="8"/>
        <v>0</v>
      </c>
      <c r="J29" s="501"/>
      <c r="K29" s="513"/>
      <c r="L29" s="505">
        <f t="shared" si="6"/>
        <v>0</v>
      </c>
      <c r="M29" s="513"/>
      <c r="N29" s="505">
        <f t="shared" si="1"/>
        <v>0</v>
      </c>
      <c r="O29" s="505">
        <f t="shared" si="2"/>
        <v>0</v>
      </c>
      <c r="P29" s="279"/>
      <c r="R29" s="244"/>
      <c r="S29" s="244"/>
      <c r="T29" s="244"/>
      <c r="U29" s="244"/>
    </row>
    <row r="30" spans="2:21" ht="12.5">
      <c r="B30" s="145" t="str">
        <f t="shared" si="0"/>
        <v/>
      </c>
      <c r="C30" s="496">
        <f>IF(D11="","-",+C29+1)</f>
        <v>2030</v>
      </c>
      <c r="D30" s="509">
        <f>IF(F29+SUM(E$17:E29)=D$10,F29,D$10-SUM(E$17:E29))</f>
        <v>7680328.7742336588</v>
      </c>
      <c r="E30" s="510">
        <f t="shared" si="3"/>
        <v>269672.31707317074</v>
      </c>
      <c r="F30" s="511">
        <f t="shared" si="7"/>
        <v>7410656.4571604878</v>
      </c>
      <c r="G30" s="512">
        <f t="shared" si="4"/>
        <v>1156199.9935106356</v>
      </c>
      <c r="H30" s="478">
        <f t="shared" si="5"/>
        <v>1156199.9935106356</v>
      </c>
      <c r="I30" s="501">
        <f t="shared" si="8"/>
        <v>0</v>
      </c>
      <c r="J30" s="501"/>
      <c r="K30" s="513"/>
      <c r="L30" s="505">
        <f t="shared" si="6"/>
        <v>0</v>
      </c>
      <c r="M30" s="513"/>
      <c r="N30" s="505">
        <f t="shared" si="1"/>
        <v>0</v>
      </c>
      <c r="O30" s="505">
        <f t="shared" si="2"/>
        <v>0</v>
      </c>
      <c r="P30" s="279"/>
      <c r="R30" s="244"/>
      <c r="S30" s="244"/>
      <c r="T30" s="244"/>
      <c r="U30" s="244"/>
    </row>
    <row r="31" spans="2:21" ht="12.5">
      <c r="B31" s="145" t="str">
        <f t="shared" si="0"/>
        <v/>
      </c>
      <c r="C31" s="496">
        <f>IF(D11="","-",+C30+1)</f>
        <v>2031</v>
      </c>
      <c r="D31" s="509">
        <f>IF(F30+SUM(E$17:E30)=D$10,F30,D$10-SUM(E$17:E30))</f>
        <v>7410656.4571604878</v>
      </c>
      <c r="E31" s="510">
        <f t="shared" si="3"/>
        <v>269672.31707317074</v>
      </c>
      <c r="F31" s="511">
        <f t="shared" si="7"/>
        <v>7140984.1400873167</v>
      </c>
      <c r="G31" s="512">
        <f t="shared" si="4"/>
        <v>1124515.9160314479</v>
      </c>
      <c r="H31" s="478">
        <f t="shared" si="5"/>
        <v>1124515.9160314479</v>
      </c>
      <c r="I31" s="501">
        <f t="shared" si="8"/>
        <v>0</v>
      </c>
      <c r="J31" s="501"/>
      <c r="K31" s="513"/>
      <c r="L31" s="505">
        <f t="shared" si="6"/>
        <v>0</v>
      </c>
      <c r="M31" s="513"/>
      <c r="N31" s="505">
        <f t="shared" si="1"/>
        <v>0</v>
      </c>
      <c r="O31" s="505">
        <f t="shared" si="2"/>
        <v>0</v>
      </c>
      <c r="P31" s="279"/>
      <c r="Q31" s="221"/>
      <c r="R31" s="279"/>
      <c r="S31" s="279"/>
      <c r="T31" s="279"/>
      <c r="U31" s="244"/>
    </row>
    <row r="32" spans="2:21" ht="12.5">
      <c r="B32" s="145" t="str">
        <f t="shared" si="0"/>
        <v/>
      </c>
      <c r="C32" s="496">
        <f>IF(D12="","-",+C31+1)</f>
        <v>2032</v>
      </c>
      <c r="D32" s="509">
        <f>IF(F31+SUM(E$17:E31)=D$10,F31,D$10-SUM(E$17:E31))</f>
        <v>7140984.1400873167</v>
      </c>
      <c r="E32" s="510">
        <f t="shared" si="3"/>
        <v>269672.31707317074</v>
      </c>
      <c r="F32" s="511">
        <f>+D32-E32</f>
        <v>6871311.8230141457</v>
      </c>
      <c r="G32" s="512">
        <f t="shared" si="4"/>
        <v>1092831.8385522598</v>
      </c>
      <c r="H32" s="478">
        <f t="shared" si="5"/>
        <v>1092831.8385522598</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0"/>
        <v/>
      </c>
      <c r="C33" s="496">
        <f>IF(D13="","-",+C32+1)</f>
        <v>2033</v>
      </c>
      <c r="D33" s="509">
        <f>IF(F32+SUM(E$17:E32)=D$10,F32,D$10-SUM(E$17:E32))</f>
        <v>6871311.8230141457</v>
      </c>
      <c r="E33" s="510">
        <f t="shared" si="3"/>
        <v>269672.31707317074</v>
      </c>
      <c r="F33" s="511">
        <f>+D33-E33</f>
        <v>6601639.5059409747</v>
      </c>
      <c r="G33" s="512">
        <f t="shared" si="4"/>
        <v>1061147.7610730722</v>
      </c>
      <c r="H33" s="478">
        <f t="shared" si="5"/>
        <v>1061147.7610730722</v>
      </c>
      <c r="I33" s="501">
        <f>H33-G33</f>
        <v>0</v>
      </c>
      <c r="J33" s="501"/>
      <c r="K33" s="513"/>
      <c r="L33" s="505">
        <f>IF(K33&lt;&gt;0,+G33-K33,0)</f>
        <v>0</v>
      </c>
      <c r="M33" s="513"/>
      <c r="N33" s="505">
        <f>IF(M33&lt;&gt;0,+H33-M33,0)</f>
        <v>0</v>
      </c>
      <c r="O33" s="505">
        <f>+N33-L33</f>
        <v>0</v>
      </c>
      <c r="P33" s="279"/>
      <c r="R33" s="244"/>
      <c r="S33" s="244"/>
      <c r="T33" s="244"/>
      <c r="U33" s="244"/>
    </row>
    <row r="34" spans="2:21" ht="12.5">
      <c r="B34" s="145" t="str">
        <f t="shared" si="0"/>
        <v/>
      </c>
      <c r="C34" s="514">
        <f>IF(D11="","-",+C33+1)</f>
        <v>2034</v>
      </c>
      <c r="D34" s="515">
        <f>IF(F33+SUM(E$17:E33)=D$10,F33,D$10-SUM(E$17:E33))</f>
        <v>6601639.5059409747</v>
      </c>
      <c r="E34" s="516">
        <f t="shared" si="3"/>
        <v>269672.31707317074</v>
      </c>
      <c r="F34" s="517">
        <f t="shared" si="7"/>
        <v>6331967.1888678037</v>
      </c>
      <c r="G34" s="512">
        <f t="shared" si="4"/>
        <v>1029463.6835938843</v>
      </c>
      <c r="H34" s="478">
        <f t="shared" si="5"/>
        <v>1029463.6835938843</v>
      </c>
      <c r="I34" s="520">
        <f t="shared" si="8"/>
        <v>0</v>
      </c>
      <c r="J34" s="520"/>
      <c r="K34" s="521"/>
      <c r="L34" s="522">
        <f t="shared" si="6"/>
        <v>0</v>
      </c>
      <c r="M34" s="521"/>
      <c r="N34" s="522">
        <f t="shared" si="1"/>
        <v>0</v>
      </c>
      <c r="O34" s="522">
        <f t="shared" si="2"/>
        <v>0</v>
      </c>
      <c r="P34" s="523"/>
      <c r="Q34" s="217"/>
      <c r="R34" s="523"/>
      <c r="S34" s="523"/>
      <c r="T34" s="523"/>
      <c r="U34" s="244"/>
    </row>
    <row r="35" spans="2:21" ht="12.5">
      <c r="B35" s="145" t="str">
        <f t="shared" si="0"/>
        <v/>
      </c>
      <c r="C35" s="496">
        <f>IF(D11="","-",+C34+1)</f>
        <v>2035</v>
      </c>
      <c r="D35" s="509">
        <f>IF(F34+SUM(E$17:E34)=D$10,F34,D$10-SUM(E$17:E34))</f>
        <v>6331967.1888678037</v>
      </c>
      <c r="E35" s="510">
        <f t="shared" si="3"/>
        <v>269672.31707317074</v>
      </c>
      <c r="F35" s="511">
        <f t="shared" si="7"/>
        <v>6062294.8717946326</v>
      </c>
      <c r="G35" s="512">
        <f t="shared" si="4"/>
        <v>997779.60611469648</v>
      </c>
      <c r="H35" s="478">
        <f t="shared" si="5"/>
        <v>997779.60611469648</v>
      </c>
      <c r="I35" s="501">
        <f t="shared" si="8"/>
        <v>0</v>
      </c>
      <c r="J35" s="501"/>
      <c r="K35" s="513"/>
      <c r="L35" s="505">
        <f t="shared" si="6"/>
        <v>0</v>
      </c>
      <c r="M35" s="513"/>
      <c r="N35" s="505">
        <f t="shared" si="1"/>
        <v>0</v>
      </c>
      <c r="O35" s="505">
        <f t="shared" si="2"/>
        <v>0</v>
      </c>
      <c r="P35" s="279"/>
      <c r="R35" s="244"/>
      <c r="S35" s="244"/>
      <c r="T35" s="244"/>
      <c r="U35" s="244"/>
    </row>
    <row r="36" spans="2:21" ht="12.5">
      <c r="B36" s="145" t="str">
        <f t="shared" si="0"/>
        <v/>
      </c>
      <c r="C36" s="496">
        <f>IF(D11="","-",+C35+1)</f>
        <v>2036</v>
      </c>
      <c r="D36" s="509">
        <f>IF(F35+SUM(E$17:E35)=D$10,F35,D$10-SUM(E$17:E35))</f>
        <v>6062294.8717946326</v>
      </c>
      <c r="E36" s="510">
        <f t="shared" si="3"/>
        <v>269672.31707317074</v>
      </c>
      <c r="F36" s="511">
        <f t="shared" si="7"/>
        <v>5792622.5547214616</v>
      </c>
      <c r="G36" s="512">
        <f t="shared" si="4"/>
        <v>966095.52863550861</v>
      </c>
      <c r="H36" s="478">
        <f t="shared" si="5"/>
        <v>966095.52863550861</v>
      </c>
      <c r="I36" s="501">
        <f t="shared" si="8"/>
        <v>0</v>
      </c>
      <c r="J36" s="501"/>
      <c r="K36" s="513"/>
      <c r="L36" s="505">
        <f t="shared" si="6"/>
        <v>0</v>
      </c>
      <c r="M36" s="513"/>
      <c r="N36" s="505">
        <f t="shared" si="1"/>
        <v>0</v>
      </c>
      <c r="O36" s="505">
        <f t="shared" si="2"/>
        <v>0</v>
      </c>
      <c r="P36" s="279"/>
      <c r="R36" s="244"/>
      <c r="S36" s="244"/>
      <c r="T36" s="244"/>
      <c r="U36" s="244"/>
    </row>
    <row r="37" spans="2:21" ht="12.5">
      <c r="B37" s="145" t="str">
        <f t="shared" si="0"/>
        <v/>
      </c>
      <c r="C37" s="496">
        <f>IF(D11="","-",+C36+1)</f>
        <v>2037</v>
      </c>
      <c r="D37" s="509">
        <f>IF(F36+SUM(E$17:E36)=D$10,F36,D$10-SUM(E$17:E36))</f>
        <v>5792622.5547214616</v>
      </c>
      <c r="E37" s="510">
        <f t="shared" si="3"/>
        <v>269672.31707317074</v>
      </c>
      <c r="F37" s="511">
        <f t="shared" si="7"/>
        <v>5522950.2376482906</v>
      </c>
      <c r="G37" s="512">
        <f t="shared" si="4"/>
        <v>934411.45115632098</v>
      </c>
      <c r="H37" s="478">
        <f t="shared" si="5"/>
        <v>934411.45115632098</v>
      </c>
      <c r="I37" s="501">
        <f t="shared" si="8"/>
        <v>0</v>
      </c>
      <c r="J37" s="501"/>
      <c r="K37" s="513"/>
      <c r="L37" s="505">
        <f t="shared" si="6"/>
        <v>0</v>
      </c>
      <c r="M37" s="513"/>
      <c r="N37" s="505">
        <f t="shared" si="1"/>
        <v>0</v>
      </c>
      <c r="O37" s="505">
        <f t="shared" si="2"/>
        <v>0</v>
      </c>
      <c r="P37" s="279"/>
      <c r="R37" s="244"/>
      <c r="S37" s="244"/>
      <c r="T37" s="244"/>
      <c r="U37" s="244"/>
    </row>
    <row r="38" spans="2:21" ht="12.5">
      <c r="B38" s="145" t="str">
        <f t="shared" si="0"/>
        <v/>
      </c>
      <c r="C38" s="496">
        <f>IF(D11="","-",+C37+1)</f>
        <v>2038</v>
      </c>
      <c r="D38" s="509">
        <f>IF(F37+SUM(E$17:E37)=D$10,F37,D$10-SUM(E$17:E37))</f>
        <v>5522950.2376482906</v>
      </c>
      <c r="E38" s="510">
        <f t="shared" si="3"/>
        <v>269672.31707317074</v>
      </c>
      <c r="F38" s="511">
        <f t="shared" si="7"/>
        <v>5253277.9205751196</v>
      </c>
      <c r="G38" s="512">
        <f t="shared" si="4"/>
        <v>902727.37367713312</v>
      </c>
      <c r="H38" s="478">
        <f t="shared" si="5"/>
        <v>902727.37367713312</v>
      </c>
      <c r="I38" s="501">
        <f t="shared" si="8"/>
        <v>0</v>
      </c>
      <c r="J38" s="501"/>
      <c r="K38" s="513"/>
      <c r="L38" s="505">
        <f t="shared" si="6"/>
        <v>0</v>
      </c>
      <c r="M38" s="513"/>
      <c r="N38" s="505">
        <f t="shared" si="1"/>
        <v>0</v>
      </c>
      <c r="O38" s="505">
        <f t="shared" si="2"/>
        <v>0</v>
      </c>
      <c r="P38" s="279"/>
      <c r="R38" s="244"/>
      <c r="S38" s="244"/>
      <c r="T38" s="244"/>
      <c r="U38" s="244"/>
    </row>
    <row r="39" spans="2:21" ht="12.5">
      <c r="B39" s="145" t="str">
        <f t="shared" si="0"/>
        <v/>
      </c>
      <c r="C39" s="496">
        <f>IF(D11="","-",+C38+1)</f>
        <v>2039</v>
      </c>
      <c r="D39" s="509">
        <f>IF(F38+SUM(E$17:E38)=D$10,F38,D$10-SUM(E$17:E38))</f>
        <v>5253277.9205751196</v>
      </c>
      <c r="E39" s="510">
        <f t="shared" si="3"/>
        <v>269672.31707317074</v>
      </c>
      <c r="F39" s="511">
        <f t="shared" si="7"/>
        <v>4983605.6035019485</v>
      </c>
      <c r="G39" s="512">
        <f t="shared" si="4"/>
        <v>871043.29619794525</v>
      </c>
      <c r="H39" s="478">
        <f t="shared" si="5"/>
        <v>871043.29619794525</v>
      </c>
      <c r="I39" s="501">
        <f t="shared" si="8"/>
        <v>0</v>
      </c>
      <c r="J39" s="501"/>
      <c r="K39" s="513"/>
      <c r="L39" s="505">
        <f t="shared" si="6"/>
        <v>0</v>
      </c>
      <c r="M39" s="513"/>
      <c r="N39" s="505">
        <f t="shared" si="1"/>
        <v>0</v>
      </c>
      <c r="O39" s="505">
        <f t="shared" si="2"/>
        <v>0</v>
      </c>
      <c r="P39" s="279"/>
      <c r="R39" s="244"/>
      <c r="S39" s="244"/>
      <c r="T39" s="244"/>
      <c r="U39" s="244"/>
    </row>
    <row r="40" spans="2:21" ht="12.5">
      <c r="B40" s="145" t="str">
        <f t="shared" si="0"/>
        <v/>
      </c>
      <c r="C40" s="496">
        <f>IF(D11="","-",+C39+1)</f>
        <v>2040</v>
      </c>
      <c r="D40" s="509">
        <f>IF(F39+SUM(E$17:E39)=D$10,F39,D$10-SUM(E$17:E39))</f>
        <v>4983605.6035019485</v>
      </c>
      <c r="E40" s="510">
        <f t="shared" si="3"/>
        <v>269672.31707317074</v>
      </c>
      <c r="F40" s="511">
        <f t="shared" si="7"/>
        <v>4713933.2864287775</v>
      </c>
      <c r="G40" s="512">
        <f t="shared" si="4"/>
        <v>839359.21871875739</v>
      </c>
      <c r="H40" s="478">
        <f t="shared" si="5"/>
        <v>839359.21871875739</v>
      </c>
      <c r="I40" s="501">
        <f t="shared" si="8"/>
        <v>0</v>
      </c>
      <c r="J40" s="501"/>
      <c r="K40" s="513"/>
      <c r="L40" s="505">
        <f t="shared" si="6"/>
        <v>0</v>
      </c>
      <c r="M40" s="513"/>
      <c r="N40" s="505">
        <f t="shared" si="1"/>
        <v>0</v>
      </c>
      <c r="O40" s="505">
        <f t="shared" si="2"/>
        <v>0</v>
      </c>
      <c r="P40" s="279"/>
      <c r="R40" s="244"/>
      <c r="S40" s="244"/>
      <c r="T40" s="244"/>
      <c r="U40" s="244"/>
    </row>
    <row r="41" spans="2:21" ht="12.5">
      <c r="B41" s="145" t="str">
        <f t="shared" si="0"/>
        <v/>
      </c>
      <c r="C41" s="496">
        <f>IF(D12="","-",+C40+1)</f>
        <v>2041</v>
      </c>
      <c r="D41" s="509">
        <f>IF(F40+SUM(E$17:E40)=D$10,F40,D$10-SUM(E$17:E40))</f>
        <v>4713933.2864287775</v>
      </c>
      <c r="E41" s="510">
        <f t="shared" ref="E41:E73" si="9">IF(+I$14&lt;F40,I$14,D41)</f>
        <v>269672.31707317074</v>
      </c>
      <c r="F41" s="511">
        <f>+D41-E41</f>
        <v>4444260.9693556065</v>
      </c>
      <c r="G41" s="512">
        <f t="shared" si="4"/>
        <v>807675.14123956976</v>
      </c>
      <c r="H41" s="478">
        <f t="shared" si="5"/>
        <v>807675.14123956976</v>
      </c>
      <c r="I41" s="501">
        <f>H41-G41</f>
        <v>0</v>
      </c>
      <c r="J41" s="501"/>
      <c r="K41" s="513"/>
      <c r="L41" s="505">
        <f>IF(K41&lt;&gt;0,+G41-K41,0)</f>
        <v>0</v>
      </c>
      <c r="M41" s="513"/>
      <c r="N41" s="505">
        <f>IF(M41&lt;&gt;0,+H41-M41,0)</f>
        <v>0</v>
      </c>
      <c r="O41" s="505">
        <f>+N41-L41</f>
        <v>0</v>
      </c>
      <c r="P41" s="279"/>
      <c r="R41" s="244"/>
      <c r="S41" s="244"/>
      <c r="T41" s="244"/>
      <c r="U41" s="244"/>
    </row>
    <row r="42" spans="2:21" ht="12.5">
      <c r="B42" s="145" t="str">
        <f t="shared" si="0"/>
        <v/>
      </c>
      <c r="C42" s="496">
        <f>IF(D13="","-",+C41+1)</f>
        <v>2042</v>
      </c>
      <c r="D42" s="509">
        <f>IF(F41+SUM(E$17:E41)=D$10,F41,D$10-SUM(E$17:E41))</f>
        <v>4444260.9693556065</v>
      </c>
      <c r="E42" s="510">
        <f t="shared" si="9"/>
        <v>269672.31707317074</v>
      </c>
      <c r="F42" s="511">
        <f>+D42-E42</f>
        <v>4174588.6522824359</v>
      </c>
      <c r="G42" s="512">
        <f t="shared" si="4"/>
        <v>775991.06376038189</v>
      </c>
      <c r="H42" s="478">
        <f t="shared" si="5"/>
        <v>775991.06376038189</v>
      </c>
      <c r="I42" s="501">
        <f>H42-G42</f>
        <v>0</v>
      </c>
      <c r="J42" s="501"/>
      <c r="K42" s="513"/>
      <c r="L42" s="505">
        <f>IF(K42&lt;&gt;0,+G42-K42,0)</f>
        <v>0</v>
      </c>
      <c r="M42" s="513"/>
      <c r="N42" s="505">
        <f>IF(M42&lt;&gt;0,+H42-M42,0)</f>
        <v>0</v>
      </c>
      <c r="O42" s="505">
        <f>+N42-L42</f>
        <v>0</v>
      </c>
      <c r="P42" s="279"/>
      <c r="R42" s="244"/>
      <c r="S42" s="244"/>
      <c r="T42" s="244"/>
      <c r="U42" s="244"/>
    </row>
    <row r="43" spans="2:21" ht="12.5">
      <c r="B43" s="145" t="str">
        <f t="shared" si="0"/>
        <v/>
      </c>
      <c r="C43" s="496">
        <f>IF(D14="","-",+C42+1)</f>
        <v>2043</v>
      </c>
      <c r="D43" s="509">
        <f>IF(F42+SUM(E$17:E42)=D$10,F42,D$10-SUM(E$17:E42))</f>
        <v>4174588.6522824359</v>
      </c>
      <c r="E43" s="510">
        <f t="shared" si="9"/>
        <v>269672.31707317074</v>
      </c>
      <c r="F43" s="511">
        <f>+D43-E43</f>
        <v>3904916.3352092654</v>
      </c>
      <c r="G43" s="512">
        <f t="shared" si="4"/>
        <v>744306.98628119403</v>
      </c>
      <c r="H43" s="478">
        <f t="shared" si="5"/>
        <v>744306.98628119403</v>
      </c>
      <c r="I43" s="501">
        <f>H43-G43</f>
        <v>0</v>
      </c>
      <c r="J43" s="501"/>
      <c r="K43" s="513"/>
      <c r="L43" s="505">
        <f>IF(K43&lt;&gt;0,+G43-K43,0)</f>
        <v>0</v>
      </c>
      <c r="M43" s="513"/>
      <c r="N43" s="505">
        <f>IF(M43&lt;&gt;0,+H43-M43,0)</f>
        <v>0</v>
      </c>
      <c r="O43" s="505">
        <f>+N43-L43</f>
        <v>0</v>
      </c>
      <c r="P43" s="279"/>
      <c r="R43" s="244"/>
      <c r="S43" s="244"/>
      <c r="T43" s="244"/>
      <c r="U43" s="244"/>
    </row>
    <row r="44" spans="2:21" ht="12.5">
      <c r="B44" s="145" t="str">
        <f t="shared" si="0"/>
        <v/>
      </c>
      <c r="C44" s="496">
        <f>IF(D11="","-",+C43+1)</f>
        <v>2044</v>
      </c>
      <c r="D44" s="509">
        <f>IF(F43+SUM(E$17:E43)=D$10,F43,D$10-SUM(E$17:E43))</f>
        <v>3904916.3352092654</v>
      </c>
      <c r="E44" s="510">
        <f t="shared" si="9"/>
        <v>269672.31707317074</v>
      </c>
      <c r="F44" s="511">
        <f t="shared" si="7"/>
        <v>3635244.0181360948</v>
      </c>
      <c r="G44" s="512">
        <f t="shared" si="4"/>
        <v>712622.90880200639</v>
      </c>
      <c r="H44" s="478">
        <f t="shared" si="5"/>
        <v>712622.90880200639</v>
      </c>
      <c r="I44" s="501">
        <f t="shared" si="8"/>
        <v>0</v>
      </c>
      <c r="J44" s="501"/>
      <c r="K44" s="513"/>
      <c r="L44" s="505">
        <f t="shared" si="6"/>
        <v>0</v>
      </c>
      <c r="M44" s="513"/>
      <c r="N44" s="505">
        <f t="shared" si="1"/>
        <v>0</v>
      </c>
      <c r="O44" s="505">
        <f t="shared" si="2"/>
        <v>0</v>
      </c>
      <c r="P44" s="279"/>
      <c r="R44" s="244"/>
      <c r="S44" s="244"/>
      <c r="T44" s="244"/>
      <c r="U44" s="244"/>
    </row>
    <row r="45" spans="2:21" ht="12.5">
      <c r="B45" s="145" t="str">
        <f t="shared" si="0"/>
        <v/>
      </c>
      <c r="C45" s="496">
        <f>IF(D11="","-",+C44+1)</f>
        <v>2045</v>
      </c>
      <c r="D45" s="509">
        <f>IF(F44+SUM(E$17:E44)=D$10,F44,D$10-SUM(E$17:E44))</f>
        <v>3635244.0181360948</v>
      </c>
      <c r="E45" s="510">
        <f t="shared" si="9"/>
        <v>269672.31707317074</v>
      </c>
      <c r="F45" s="511">
        <f t="shared" si="7"/>
        <v>3365571.7010629242</v>
      </c>
      <c r="G45" s="512">
        <f t="shared" si="4"/>
        <v>680938.83132281853</v>
      </c>
      <c r="H45" s="478">
        <f t="shared" si="5"/>
        <v>680938.83132281853</v>
      </c>
      <c r="I45" s="501">
        <f t="shared" si="8"/>
        <v>0</v>
      </c>
      <c r="J45" s="501"/>
      <c r="K45" s="513"/>
      <c r="L45" s="505">
        <f t="shared" si="6"/>
        <v>0</v>
      </c>
      <c r="M45" s="513"/>
      <c r="N45" s="505">
        <f t="shared" si="1"/>
        <v>0</v>
      </c>
      <c r="O45" s="505">
        <f t="shared" si="2"/>
        <v>0</v>
      </c>
      <c r="P45" s="279"/>
      <c r="R45" s="244"/>
      <c r="S45" s="244"/>
      <c r="T45" s="244"/>
      <c r="U45" s="244"/>
    </row>
    <row r="46" spans="2:21" ht="12.5">
      <c r="B46" s="145" t="str">
        <f t="shared" si="0"/>
        <v/>
      </c>
      <c r="C46" s="496">
        <f>IF(D11="","-",+C45+1)</f>
        <v>2046</v>
      </c>
      <c r="D46" s="509">
        <f>IF(F45+SUM(E$17:E45)=D$10,F45,D$10-SUM(E$17:E45))</f>
        <v>3365571.7010629242</v>
      </c>
      <c r="E46" s="510">
        <f t="shared" si="9"/>
        <v>269672.31707317074</v>
      </c>
      <c r="F46" s="511">
        <f t="shared" si="7"/>
        <v>3095899.3839897537</v>
      </c>
      <c r="G46" s="512">
        <f t="shared" si="4"/>
        <v>649254.7538436309</v>
      </c>
      <c r="H46" s="478">
        <f t="shared" si="5"/>
        <v>649254.7538436309</v>
      </c>
      <c r="I46" s="501">
        <f t="shared" si="8"/>
        <v>0</v>
      </c>
      <c r="J46" s="501"/>
      <c r="K46" s="513"/>
      <c r="L46" s="505">
        <f t="shared" si="6"/>
        <v>0</v>
      </c>
      <c r="M46" s="513"/>
      <c r="N46" s="505">
        <f t="shared" si="1"/>
        <v>0</v>
      </c>
      <c r="O46" s="505">
        <f t="shared" si="2"/>
        <v>0</v>
      </c>
      <c r="P46" s="279"/>
      <c r="R46" s="244"/>
      <c r="S46" s="244"/>
      <c r="T46" s="244"/>
      <c r="U46" s="244"/>
    </row>
    <row r="47" spans="2:21" ht="12.5">
      <c r="B47" s="145" t="str">
        <f t="shared" si="0"/>
        <v/>
      </c>
      <c r="C47" s="496">
        <f>IF(D11="","-",+C46+1)</f>
        <v>2047</v>
      </c>
      <c r="D47" s="509">
        <f>IF(F46+SUM(E$17:E46)=D$10,F46,D$10-SUM(E$17:E46))</f>
        <v>3095899.3839897537</v>
      </c>
      <c r="E47" s="510">
        <f t="shared" si="9"/>
        <v>269672.31707317074</v>
      </c>
      <c r="F47" s="511">
        <f t="shared" si="7"/>
        <v>2826227.0669165831</v>
      </c>
      <c r="G47" s="512">
        <f t="shared" si="4"/>
        <v>617570.67636444303</v>
      </c>
      <c r="H47" s="478">
        <f t="shared" si="5"/>
        <v>617570.67636444303</v>
      </c>
      <c r="I47" s="501">
        <f t="shared" si="8"/>
        <v>0</v>
      </c>
      <c r="J47" s="501"/>
      <c r="K47" s="513"/>
      <c r="L47" s="505">
        <f t="shared" si="6"/>
        <v>0</v>
      </c>
      <c r="M47" s="513"/>
      <c r="N47" s="505">
        <f t="shared" si="1"/>
        <v>0</v>
      </c>
      <c r="O47" s="505">
        <f t="shared" si="2"/>
        <v>0</v>
      </c>
      <c r="P47" s="279"/>
      <c r="R47" s="244"/>
      <c r="S47" s="244"/>
      <c r="T47" s="244"/>
      <c r="U47" s="244"/>
    </row>
    <row r="48" spans="2:21" ht="12.5">
      <c r="B48" s="145" t="str">
        <f t="shared" si="0"/>
        <v/>
      </c>
      <c r="C48" s="496">
        <f>IF(D11="","-",+C47+1)</f>
        <v>2048</v>
      </c>
      <c r="D48" s="509">
        <f>IF(F47+SUM(E$17:E47)=D$10,F47,D$10-SUM(E$17:E47))</f>
        <v>2826227.0669165831</v>
      </c>
      <c r="E48" s="510">
        <f t="shared" si="9"/>
        <v>269672.31707317074</v>
      </c>
      <c r="F48" s="511">
        <f t="shared" si="7"/>
        <v>2556554.7498434125</v>
      </c>
      <c r="G48" s="512">
        <f t="shared" si="4"/>
        <v>585886.59888525528</v>
      </c>
      <c r="H48" s="478">
        <f t="shared" si="5"/>
        <v>585886.59888525528</v>
      </c>
      <c r="I48" s="501">
        <f t="shared" si="8"/>
        <v>0</v>
      </c>
      <c r="J48" s="501"/>
      <c r="K48" s="513"/>
      <c r="L48" s="505">
        <f t="shared" si="6"/>
        <v>0</v>
      </c>
      <c r="M48" s="513"/>
      <c r="N48" s="505">
        <f t="shared" si="1"/>
        <v>0</v>
      </c>
      <c r="O48" s="505">
        <f t="shared" si="2"/>
        <v>0</v>
      </c>
      <c r="P48" s="279"/>
      <c r="R48" s="244"/>
      <c r="S48" s="244"/>
      <c r="T48" s="244"/>
      <c r="U48" s="244"/>
    </row>
    <row r="49" spans="2:21" ht="12.5">
      <c r="B49" s="145" t="str">
        <f t="shared" si="0"/>
        <v/>
      </c>
      <c r="C49" s="496">
        <f>IF(D11="","-",+C48+1)</f>
        <v>2049</v>
      </c>
      <c r="D49" s="509">
        <f>IF(F48+SUM(E$17:E48)=D$10,F48,D$10-SUM(E$17:E48))</f>
        <v>2556554.7498434125</v>
      </c>
      <c r="E49" s="510">
        <f t="shared" si="9"/>
        <v>269672.31707317074</v>
      </c>
      <c r="F49" s="511">
        <f t="shared" si="7"/>
        <v>2286882.432770242</v>
      </c>
      <c r="G49" s="512">
        <f t="shared" si="4"/>
        <v>554202.52140606754</v>
      </c>
      <c r="H49" s="478">
        <f t="shared" si="5"/>
        <v>554202.52140606754</v>
      </c>
      <c r="I49" s="501">
        <f t="shared" si="8"/>
        <v>0</v>
      </c>
      <c r="J49" s="501"/>
      <c r="K49" s="513"/>
      <c r="L49" s="505">
        <f t="shared" si="6"/>
        <v>0</v>
      </c>
      <c r="M49" s="513"/>
      <c r="N49" s="505">
        <f t="shared" si="1"/>
        <v>0</v>
      </c>
      <c r="O49" s="505">
        <f t="shared" si="2"/>
        <v>0</v>
      </c>
      <c r="P49" s="279"/>
      <c r="R49" s="244"/>
      <c r="S49" s="244"/>
      <c r="T49" s="244"/>
      <c r="U49" s="244"/>
    </row>
    <row r="50" spans="2:21" ht="12.5">
      <c r="B50" s="145" t="str">
        <f t="shared" si="0"/>
        <v/>
      </c>
      <c r="C50" s="496">
        <f>IF(D11="","-",+C49+1)</f>
        <v>2050</v>
      </c>
      <c r="D50" s="509">
        <f>IF(F49+SUM(E$17:E49)=D$10,F49,D$10-SUM(E$17:E49))</f>
        <v>2286882.432770242</v>
      </c>
      <c r="E50" s="510">
        <f t="shared" si="9"/>
        <v>269672.31707317074</v>
      </c>
      <c r="F50" s="511">
        <f t="shared" si="7"/>
        <v>2017210.1156970712</v>
      </c>
      <c r="G50" s="512">
        <f t="shared" si="4"/>
        <v>522518.44392687973</v>
      </c>
      <c r="H50" s="478">
        <f t="shared" si="5"/>
        <v>522518.44392687973</v>
      </c>
      <c r="I50" s="501">
        <f t="shared" si="8"/>
        <v>0</v>
      </c>
      <c r="J50" s="501"/>
      <c r="K50" s="513"/>
      <c r="L50" s="505">
        <f t="shared" si="6"/>
        <v>0</v>
      </c>
      <c r="M50" s="513"/>
      <c r="N50" s="505">
        <f t="shared" si="1"/>
        <v>0</v>
      </c>
      <c r="O50" s="505">
        <f t="shared" si="2"/>
        <v>0</v>
      </c>
      <c r="P50" s="279"/>
      <c r="R50" s="244"/>
      <c r="S50" s="244"/>
      <c r="T50" s="244"/>
      <c r="U50" s="244"/>
    </row>
    <row r="51" spans="2:21" ht="12.5">
      <c r="B51" s="145" t="str">
        <f t="shared" si="0"/>
        <v/>
      </c>
      <c r="C51" s="496">
        <f>IF(D11="","-",+C50+1)</f>
        <v>2051</v>
      </c>
      <c r="D51" s="509">
        <f>IF(F50+SUM(E$17:E50)=D$10,F50,D$10-SUM(E$17:E50))</f>
        <v>2017210.1156970712</v>
      </c>
      <c r="E51" s="510">
        <f t="shared" si="9"/>
        <v>269672.31707317074</v>
      </c>
      <c r="F51" s="511">
        <f t="shared" si="7"/>
        <v>1747537.7986239004</v>
      </c>
      <c r="G51" s="512">
        <f t="shared" si="4"/>
        <v>490834.36644769198</v>
      </c>
      <c r="H51" s="478">
        <f t="shared" si="5"/>
        <v>490834.36644769198</v>
      </c>
      <c r="I51" s="501">
        <f t="shared" si="8"/>
        <v>0</v>
      </c>
      <c r="J51" s="501"/>
      <c r="K51" s="513"/>
      <c r="L51" s="505">
        <f t="shared" si="6"/>
        <v>0</v>
      </c>
      <c r="M51" s="513"/>
      <c r="N51" s="505">
        <f t="shared" si="1"/>
        <v>0</v>
      </c>
      <c r="O51" s="505">
        <f t="shared" si="2"/>
        <v>0</v>
      </c>
      <c r="P51" s="279"/>
      <c r="R51" s="244"/>
      <c r="S51" s="244"/>
      <c r="T51" s="244"/>
      <c r="U51" s="244"/>
    </row>
    <row r="52" spans="2:21" ht="12.5">
      <c r="B52" s="145" t="str">
        <f t="shared" si="0"/>
        <v/>
      </c>
      <c r="C52" s="496">
        <f>IF(D11="","-",+C51+1)</f>
        <v>2052</v>
      </c>
      <c r="D52" s="509">
        <f>IF(F51+SUM(E$17:E51)=D$10,F51,D$10-SUM(E$17:E51))</f>
        <v>1747537.7986239004</v>
      </c>
      <c r="E52" s="510">
        <f t="shared" si="9"/>
        <v>269672.31707317074</v>
      </c>
      <c r="F52" s="511">
        <f t="shared" si="7"/>
        <v>1477865.4815507296</v>
      </c>
      <c r="G52" s="512">
        <f t="shared" si="4"/>
        <v>459150.28896850417</v>
      </c>
      <c r="H52" s="478">
        <f t="shared" si="5"/>
        <v>459150.28896850417</v>
      </c>
      <c r="I52" s="501">
        <f t="shared" si="8"/>
        <v>0</v>
      </c>
      <c r="J52" s="501"/>
      <c r="K52" s="513"/>
      <c r="L52" s="505">
        <f t="shared" si="6"/>
        <v>0</v>
      </c>
      <c r="M52" s="513"/>
      <c r="N52" s="505">
        <f t="shared" si="1"/>
        <v>0</v>
      </c>
      <c r="O52" s="505">
        <f t="shared" si="2"/>
        <v>0</v>
      </c>
      <c r="P52" s="279"/>
      <c r="R52" s="244"/>
      <c r="S52" s="244"/>
      <c r="T52" s="244"/>
      <c r="U52" s="244"/>
    </row>
    <row r="53" spans="2:21" ht="12.5">
      <c r="B53" s="145" t="str">
        <f t="shared" si="0"/>
        <v/>
      </c>
      <c r="C53" s="496">
        <f>IF(D11="","-",+C52+1)</f>
        <v>2053</v>
      </c>
      <c r="D53" s="509">
        <f>IF(F52+SUM(E$17:E52)=D$10,F52,D$10-SUM(E$17:E52))</f>
        <v>1477865.4815507296</v>
      </c>
      <c r="E53" s="510">
        <f t="shared" si="9"/>
        <v>269672.31707317074</v>
      </c>
      <c r="F53" s="511">
        <f t="shared" si="7"/>
        <v>1208193.1644775588</v>
      </c>
      <c r="G53" s="512">
        <f t="shared" si="4"/>
        <v>427466.21148931643</v>
      </c>
      <c r="H53" s="478">
        <f t="shared" si="5"/>
        <v>427466.21148931643</v>
      </c>
      <c r="I53" s="501">
        <f t="shared" si="8"/>
        <v>0</v>
      </c>
      <c r="J53" s="501"/>
      <c r="K53" s="513"/>
      <c r="L53" s="505">
        <f t="shared" si="6"/>
        <v>0</v>
      </c>
      <c r="M53" s="513"/>
      <c r="N53" s="505">
        <f t="shared" si="1"/>
        <v>0</v>
      </c>
      <c r="O53" s="505">
        <f t="shared" si="2"/>
        <v>0</v>
      </c>
      <c r="P53" s="279"/>
      <c r="R53" s="244"/>
      <c r="S53" s="244"/>
      <c r="T53" s="244"/>
      <c r="U53" s="244"/>
    </row>
    <row r="54" spans="2:21" ht="12.5">
      <c r="B54" s="145" t="str">
        <f t="shared" si="0"/>
        <v/>
      </c>
      <c r="C54" s="496">
        <f>IF(D11="","-",+C53+1)</f>
        <v>2054</v>
      </c>
      <c r="D54" s="509">
        <f>IF(F53+SUM(E$17:E53)=D$10,F53,D$10-SUM(E$17:E53))</f>
        <v>1208193.1644775588</v>
      </c>
      <c r="E54" s="510">
        <f t="shared" si="9"/>
        <v>269672.31707317074</v>
      </c>
      <c r="F54" s="511">
        <f t="shared" si="7"/>
        <v>938520.84740438801</v>
      </c>
      <c r="G54" s="512">
        <f t="shared" si="4"/>
        <v>395782.13401012856</v>
      </c>
      <c r="H54" s="478">
        <f t="shared" si="5"/>
        <v>395782.13401012856</v>
      </c>
      <c r="I54" s="501">
        <f t="shared" si="8"/>
        <v>0</v>
      </c>
      <c r="J54" s="501"/>
      <c r="K54" s="513"/>
      <c r="L54" s="505">
        <f t="shared" si="6"/>
        <v>0</v>
      </c>
      <c r="M54" s="513"/>
      <c r="N54" s="505">
        <f t="shared" si="1"/>
        <v>0</v>
      </c>
      <c r="O54" s="505">
        <f t="shared" si="2"/>
        <v>0</v>
      </c>
      <c r="P54" s="279"/>
      <c r="R54" s="244"/>
      <c r="S54" s="244"/>
      <c r="T54" s="244"/>
      <c r="U54" s="244"/>
    </row>
    <row r="55" spans="2:21" ht="12.5">
      <c r="B55" s="145" t="str">
        <f t="shared" si="0"/>
        <v/>
      </c>
      <c r="C55" s="496">
        <f>IF(D11="","-",+C54+1)</f>
        <v>2055</v>
      </c>
      <c r="D55" s="509">
        <f>IF(F54+SUM(E$17:E54)=D$10,F54,D$10-SUM(E$17:E54))</f>
        <v>938520.84740438801</v>
      </c>
      <c r="E55" s="510">
        <f t="shared" si="9"/>
        <v>269672.31707317074</v>
      </c>
      <c r="F55" s="511">
        <f t="shared" si="7"/>
        <v>668848.53033121722</v>
      </c>
      <c r="G55" s="512">
        <f t="shared" si="4"/>
        <v>364098.05653094081</v>
      </c>
      <c r="H55" s="478">
        <f t="shared" si="5"/>
        <v>364098.05653094081</v>
      </c>
      <c r="I55" s="501">
        <f t="shared" si="8"/>
        <v>0</v>
      </c>
      <c r="J55" s="501"/>
      <c r="K55" s="513"/>
      <c r="L55" s="505">
        <f t="shared" si="6"/>
        <v>0</v>
      </c>
      <c r="M55" s="513"/>
      <c r="N55" s="505">
        <f t="shared" si="1"/>
        <v>0</v>
      </c>
      <c r="O55" s="505">
        <f t="shared" si="2"/>
        <v>0</v>
      </c>
      <c r="P55" s="279"/>
      <c r="R55" s="244"/>
      <c r="S55" s="244"/>
      <c r="T55" s="244"/>
      <c r="U55" s="244"/>
    </row>
    <row r="56" spans="2:21" ht="12.5">
      <c r="B56" s="145" t="str">
        <f t="shared" si="0"/>
        <v/>
      </c>
      <c r="C56" s="496">
        <f>IF(D11="","-",+C55+1)</f>
        <v>2056</v>
      </c>
      <c r="D56" s="509">
        <f>IF(F55+SUM(E$17:E55)=D$10,F55,D$10-SUM(E$17:E55))</f>
        <v>668848.53033121722</v>
      </c>
      <c r="E56" s="510">
        <f t="shared" si="9"/>
        <v>269672.31707317074</v>
      </c>
      <c r="F56" s="511">
        <f t="shared" si="7"/>
        <v>399176.21325804648</v>
      </c>
      <c r="G56" s="512">
        <f t="shared" si="4"/>
        <v>332413.97905175306</v>
      </c>
      <c r="H56" s="478">
        <f t="shared" si="5"/>
        <v>332413.97905175306</v>
      </c>
      <c r="I56" s="501">
        <f t="shared" si="8"/>
        <v>0</v>
      </c>
      <c r="J56" s="501"/>
      <c r="K56" s="513"/>
      <c r="L56" s="505">
        <f t="shared" si="6"/>
        <v>0</v>
      </c>
      <c r="M56" s="513"/>
      <c r="N56" s="505">
        <f t="shared" si="1"/>
        <v>0</v>
      </c>
      <c r="O56" s="505">
        <f t="shared" si="2"/>
        <v>0</v>
      </c>
      <c r="P56" s="279"/>
      <c r="R56" s="244"/>
      <c r="S56" s="244"/>
      <c r="T56" s="244"/>
      <c r="U56" s="244"/>
    </row>
    <row r="57" spans="2:21" ht="12.5">
      <c r="B57" s="145" t="str">
        <f t="shared" si="0"/>
        <v/>
      </c>
      <c r="C57" s="496">
        <f>IF(D11="","-",+C56+1)</f>
        <v>2057</v>
      </c>
      <c r="D57" s="509">
        <f>IF(F56+SUM(E$17:E56)=D$10,F56,D$10-SUM(E$17:E56))</f>
        <v>399176.21325804648</v>
      </c>
      <c r="E57" s="510">
        <f t="shared" si="9"/>
        <v>269672.31707317074</v>
      </c>
      <c r="F57" s="511">
        <f t="shared" si="7"/>
        <v>129503.89618487575</v>
      </c>
      <c r="G57" s="512">
        <f t="shared" si="4"/>
        <v>300729.90157256526</v>
      </c>
      <c r="H57" s="478">
        <f t="shared" si="5"/>
        <v>300729.90157256526</v>
      </c>
      <c r="I57" s="501">
        <f t="shared" si="8"/>
        <v>0</v>
      </c>
      <c r="J57" s="501"/>
      <c r="K57" s="513"/>
      <c r="L57" s="505">
        <f t="shared" si="6"/>
        <v>0</v>
      </c>
      <c r="M57" s="513"/>
      <c r="N57" s="505">
        <f t="shared" si="1"/>
        <v>0</v>
      </c>
      <c r="O57" s="505">
        <f t="shared" si="2"/>
        <v>0</v>
      </c>
      <c r="P57" s="279"/>
      <c r="R57" s="244"/>
      <c r="S57" s="244"/>
      <c r="T57" s="244"/>
      <c r="U57" s="244"/>
    </row>
    <row r="58" spans="2:21" ht="12.5">
      <c r="B58" s="145" t="str">
        <f t="shared" si="0"/>
        <v/>
      </c>
      <c r="C58" s="496">
        <f>IF(D11="","-",+C57+1)</f>
        <v>2058</v>
      </c>
      <c r="D58" s="509">
        <f>IF(F57+SUM(E$17:E57)=D$10,F57,D$10-SUM(E$17:E57))</f>
        <v>129503.89618487575</v>
      </c>
      <c r="E58" s="510">
        <f t="shared" si="9"/>
        <v>129503.89618487575</v>
      </c>
      <c r="F58" s="511">
        <f t="shared" si="7"/>
        <v>0</v>
      </c>
      <c r="G58" s="512">
        <f t="shared" si="4"/>
        <v>137111.66906477607</v>
      </c>
      <c r="H58" s="478">
        <f t="shared" si="5"/>
        <v>137111.66906477607</v>
      </c>
      <c r="I58" s="501">
        <f t="shared" si="8"/>
        <v>0</v>
      </c>
      <c r="J58" s="501"/>
      <c r="K58" s="513"/>
      <c r="L58" s="505">
        <f t="shared" si="6"/>
        <v>0</v>
      </c>
      <c r="M58" s="513"/>
      <c r="N58" s="505">
        <f t="shared" si="1"/>
        <v>0</v>
      </c>
      <c r="O58" s="505">
        <f t="shared" si="2"/>
        <v>0</v>
      </c>
      <c r="P58" s="279"/>
      <c r="R58" s="244"/>
      <c r="S58" s="244"/>
      <c r="T58" s="244"/>
      <c r="U58" s="244"/>
    </row>
    <row r="59" spans="2:21" ht="12.5">
      <c r="B59" s="145" t="str">
        <f t="shared" si="0"/>
        <v/>
      </c>
      <c r="C59" s="496">
        <f>IF(D11="","-",+C58+1)</f>
        <v>2059</v>
      </c>
      <c r="D59" s="509">
        <f>IF(F58+SUM(E$17:E58)=D$10,F58,D$10-SUM(E$17:E58))</f>
        <v>0</v>
      </c>
      <c r="E59" s="510">
        <f t="shared" si="9"/>
        <v>0</v>
      </c>
      <c r="F59" s="511">
        <f t="shared" si="7"/>
        <v>0</v>
      </c>
      <c r="G59" s="512">
        <f t="shared" si="4"/>
        <v>0</v>
      </c>
      <c r="H59" s="478">
        <f t="shared" si="5"/>
        <v>0</v>
      </c>
      <c r="I59" s="501">
        <f t="shared" si="8"/>
        <v>0</v>
      </c>
      <c r="J59" s="501"/>
      <c r="K59" s="513"/>
      <c r="L59" s="505">
        <f t="shared" si="6"/>
        <v>0</v>
      </c>
      <c r="M59" s="513"/>
      <c r="N59" s="505">
        <f t="shared" si="1"/>
        <v>0</v>
      </c>
      <c r="O59" s="505">
        <f t="shared" si="2"/>
        <v>0</v>
      </c>
      <c r="P59" s="279"/>
      <c r="R59" s="244"/>
      <c r="S59" s="244"/>
      <c r="T59" s="244"/>
      <c r="U59" s="244"/>
    </row>
    <row r="60" spans="2:21" ht="12.5">
      <c r="B60" s="145" t="str">
        <f t="shared" si="0"/>
        <v/>
      </c>
      <c r="C60" s="496">
        <f>IF(D11="","-",+C59+1)</f>
        <v>2060</v>
      </c>
      <c r="D60" s="509">
        <f>IF(F59+SUM(E$17:E59)=D$10,F59,D$10-SUM(E$17:E59))</f>
        <v>0</v>
      </c>
      <c r="E60" s="510">
        <f t="shared" si="9"/>
        <v>0</v>
      </c>
      <c r="F60" s="511">
        <f t="shared" si="7"/>
        <v>0</v>
      </c>
      <c r="G60" s="512">
        <f t="shared" si="4"/>
        <v>0</v>
      </c>
      <c r="H60" s="478">
        <f t="shared" si="5"/>
        <v>0</v>
      </c>
      <c r="I60" s="501">
        <f t="shared" si="8"/>
        <v>0</v>
      </c>
      <c r="J60" s="501"/>
      <c r="K60" s="513"/>
      <c r="L60" s="505">
        <f t="shared" si="6"/>
        <v>0</v>
      </c>
      <c r="M60" s="513"/>
      <c r="N60" s="505">
        <f t="shared" si="1"/>
        <v>0</v>
      </c>
      <c r="O60" s="505">
        <f t="shared" si="2"/>
        <v>0</v>
      </c>
      <c r="P60" s="279"/>
      <c r="R60" s="244"/>
      <c r="S60" s="244"/>
      <c r="T60" s="244"/>
      <c r="U60" s="244"/>
    </row>
    <row r="61" spans="2:21" ht="12.5">
      <c r="B61" s="145" t="str">
        <f t="shared" si="0"/>
        <v/>
      </c>
      <c r="C61" s="496">
        <f>IF(D11="","-",+C60+1)</f>
        <v>2061</v>
      </c>
      <c r="D61" s="509">
        <f>IF(F60+SUM(E$17:E60)=D$10,F60,D$10-SUM(E$17:E60))</f>
        <v>0</v>
      </c>
      <c r="E61" s="510">
        <f t="shared" si="9"/>
        <v>0</v>
      </c>
      <c r="F61" s="511">
        <f t="shared" si="7"/>
        <v>0</v>
      </c>
      <c r="G61" s="512">
        <f t="shared" si="4"/>
        <v>0</v>
      </c>
      <c r="H61" s="478">
        <f t="shared" si="5"/>
        <v>0</v>
      </c>
      <c r="I61" s="501">
        <f t="shared" si="8"/>
        <v>0</v>
      </c>
      <c r="J61" s="501"/>
      <c r="K61" s="513"/>
      <c r="L61" s="505">
        <f t="shared" si="6"/>
        <v>0</v>
      </c>
      <c r="M61" s="513"/>
      <c r="N61" s="505">
        <f t="shared" si="1"/>
        <v>0</v>
      </c>
      <c r="O61" s="505">
        <f t="shared" si="2"/>
        <v>0</v>
      </c>
      <c r="P61" s="279"/>
      <c r="R61" s="244"/>
      <c r="S61" s="244"/>
      <c r="T61" s="244"/>
      <c r="U61" s="244"/>
    </row>
    <row r="62" spans="2:21" ht="12.5">
      <c r="B62" s="145" t="str">
        <f t="shared" si="0"/>
        <v/>
      </c>
      <c r="C62" s="496">
        <f>IF(D11="","-",+C61+1)</f>
        <v>2062</v>
      </c>
      <c r="D62" s="509">
        <f>IF(F61+SUM(E$17:E61)=D$10,F61,D$10-SUM(E$17:E61))</f>
        <v>0</v>
      </c>
      <c r="E62" s="510">
        <f t="shared" si="9"/>
        <v>0</v>
      </c>
      <c r="F62" s="511">
        <f t="shared" si="7"/>
        <v>0</v>
      </c>
      <c r="G62" s="512">
        <f t="shared" si="4"/>
        <v>0</v>
      </c>
      <c r="H62" s="478">
        <f t="shared" si="5"/>
        <v>0</v>
      </c>
      <c r="I62" s="501">
        <f t="shared" si="8"/>
        <v>0</v>
      </c>
      <c r="J62" s="501"/>
      <c r="K62" s="513"/>
      <c r="L62" s="505">
        <f t="shared" si="6"/>
        <v>0</v>
      </c>
      <c r="M62" s="513"/>
      <c r="N62" s="505">
        <f t="shared" si="1"/>
        <v>0</v>
      </c>
      <c r="O62" s="505">
        <f t="shared" si="2"/>
        <v>0</v>
      </c>
      <c r="P62" s="279"/>
      <c r="R62" s="244"/>
      <c r="S62" s="244"/>
      <c r="T62" s="244"/>
      <c r="U62" s="244"/>
    </row>
    <row r="63" spans="2:21" ht="12.5">
      <c r="B63" s="145" t="str">
        <f t="shared" si="0"/>
        <v/>
      </c>
      <c r="C63" s="496">
        <f>IF(D11="","-",+C62+1)</f>
        <v>2063</v>
      </c>
      <c r="D63" s="509">
        <f>IF(F62+SUM(E$17:E62)=D$10,F62,D$10-SUM(E$17:E62))</f>
        <v>0</v>
      </c>
      <c r="E63" s="510">
        <f t="shared" si="9"/>
        <v>0</v>
      </c>
      <c r="F63" s="511">
        <f t="shared" si="7"/>
        <v>0</v>
      </c>
      <c r="G63" s="512">
        <f t="shared" si="4"/>
        <v>0</v>
      </c>
      <c r="H63" s="478">
        <f t="shared" si="5"/>
        <v>0</v>
      </c>
      <c r="I63" s="501">
        <f t="shared" si="8"/>
        <v>0</v>
      </c>
      <c r="J63" s="501"/>
      <c r="K63" s="513"/>
      <c r="L63" s="505">
        <f t="shared" si="6"/>
        <v>0</v>
      </c>
      <c r="M63" s="513"/>
      <c r="N63" s="505">
        <f t="shared" si="1"/>
        <v>0</v>
      </c>
      <c r="O63" s="505">
        <f t="shared" si="2"/>
        <v>0</v>
      </c>
      <c r="P63" s="279"/>
      <c r="R63" s="244"/>
      <c r="S63" s="244"/>
      <c r="T63" s="244"/>
      <c r="U63" s="244"/>
    </row>
    <row r="64" spans="2:21" ht="12.5">
      <c r="B64" s="145" t="str">
        <f t="shared" si="0"/>
        <v/>
      </c>
      <c r="C64" s="496">
        <f>IF(D11="","-",+C63+1)</f>
        <v>2064</v>
      </c>
      <c r="D64" s="509">
        <f>IF(F63+SUM(E$17:E63)=D$10,F63,D$10-SUM(E$17:E63))</f>
        <v>0</v>
      </c>
      <c r="E64" s="510">
        <f t="shared" si="9"/>
        <v>0</v>
      </c>
      <c r="F64" s="511">
        <f t="shared" si="7"/>
        <v>0</v>
      </c>
      <c r="G64" s="512">
        <f t="shared" si="4"/>
        <v>0</v>
      </c>
      <c r="H64" s="478">
        <f t="shared" si="5"/>
        <v>0</v>
      </c>
      <c r="I64" s="501">
        <f t="shared" si="8"/>
        <v>0</v>
      </c>
      <c r="J64" s="501"/>
      <c r="K64" s="513"/>
      <c r="L64" s="505">
        <f t="shared" si="6"/>
        <v>0</v>
      </c>
      <c r="M64" s="513"/>
      <c r="N64" s="505">
        <f t="shared" si="1"/>
        <v>0</v>
      </c>
      <c r="O64" s="505">
        <f t="shared" si="2"/>
        <v>0</v>
      </c>
      <c r="P64" s="279"/>
      <c r="R64" s="244"/>
      <c r="S64" s="244"/>
      <c r="T64" s="244"/>
      <c r="U64" s="244"/>
    </row>
    <row r="65" spans="2:21" ht="12.5">
      <c r="B65" s="145" t="str">
        <f t="shared" si="0"/>
        <v/>
      </c>
      <c r="C65" s="496">
        <f>IF(D11="","-",+C64+1)</f>
        <v>2065</v>
      </c>
      <c r="D65" s="509">
        <f>IF(F64+SUM(E$17:E64)=D$10,F64,D$10-SUM(E$17:E64))</f>
        <v>0</v>
      </c>
      <c r="E65" s="510">
        <f t="shared" si="9"/>
        <v>0</v>
      </c>
      <c r="F65" s="511">
        <f t="shared" si="7"/>
        <v>0</v>
      </c>
      <c r="G65" s="512">
        <f t="shared" si="4"/>
        <v>0</v>
      </c>
      <c r="H65" s="478">
        <f t="shared" si="5"/>
        <v>0</v>
      </c>
      <c r="I65" s="501">
        <f t="shared" si="8"/>
        <v>0</v>
      </c>
      <c r="J65" s="501"/>
      <c r="K65" s="513"/>
      <c r="L65" s="505">
        <f t="shared" si="6"/>
        <v>0</v>
      </c>
      <c r="M65" s="513"/>
      <c r="N65" s="505">
        <f t="shared" si="1"/>
        <v>0</v>
      </c>
      <c r="O65" s="505">
        <f t="shared" si="2"/>
        <v>0</v>
      </c>
      <c r="P65" s="279"/>
      <c r="R65" s="244"/>
      <c r="S65" s="244"/>
      <c r="T65" s="244"/>
      <c r="U65" s="244"/>
    </row>
    <row r="66" spans="2:21" ht="12.5">
      <c r="B66" s="145" t="str">
        <f t="shared" si="0"/>
        <v/>
      </c>
      <c r="C66" s="496">
        <f>IF(D11="","-",+C65+1)</f>
        <v>2066</v>
      </c>
      <c r="D66" s="509">
        <f>IF(F65+SUM(E$17:E65)=D$10,F65,D$10-SUM(E$17:E65))</f>
        <v>0</v>
      </c>
      <c r="E66" s="510">
        <f t="shared" si="9"/>
        <v>0</v>
      </c>
      <c r="F66" s="511">
        <f t="shared" si="7"/>
        <v>0</v>
      </c>
      <c r="G66" s="512">
        <f t="shared" si="4"/>
        <v>0</v>
      </c>
      <c r="H66" s="478">
        <f t="shared" si="5"/>
        <v>0</v>
      </c>
      <c r="I66" s="501">
        <f t="shared" si="8"/>
        <v>0</v>
      </c>
      <c r="J66" s="501"/>
      <c r="K66" s="513"/>
      <c r="L66" s="505">
        <f t="shared" si="6"/>
        <v>0</v>
      </c>
      <c r="M66" s="513"/>
      <c r="N66" s="505">
        <f t="shared" si="1"/>
        <v>0</v>
      </c>
      <c r="O66" s="505">
        <f t="shared" si="2"/>
        <v>0</v>
      </c>
      <c r="P66" s="279"/>
      <c r="R66" s="244"/>
      <c r="S66" s="244"/>
      <c r="T66" s="244"/>
      <c r="U66" s="244"/>
    </row>
    <row r="67" spans="2:21" ht="12.5">
      <c r="B67" s="145" t="str">
        <f t="shared" si="0"/>
        <v/>
      </c>
      <c r="C67" s="496">
        <f>IF(D11="","-",+C66+1)</f>
        <v>2067</v>
      </c>
      <c r="D67" s="509">
        <f>IF(F66+SUM(E$17:E66)=D$10,F66,D$10-SUM(E$17:E66))</f>
        <v>0</v>
      </c>
      <c r="E67" s="510">
        <f t="shared" si="9"/>
        <v>0</v>
      </c>
      <c r="F67" s="511">
        <f t="shared" si="7"/>
        <v>0</v>
      </c>
      <c r="G67" s="512">
        <f t="shared" si="4"/>
        <v>0</v>
      </c>
      <c r="H67" s="478">
        <f t="shared" si="5"/>
        <v>0</v>
      </c>
      <c r="I67" s="501">
        <f t="shared" si="8"/>
        <v>0</v>
      </c>
      <c r="J67" s="501"/>
      <c r="K67" s="513"/>
      <c r="L67" s="505">
        <f t="shared" si="6"/>
        <v>0</v>
      </c>
      <c r="M67" s="513"/>
      <c r="N67" s="505">
        <f t="shared" si="1"/>
        <v>0</v>
      </c>
      <c r="O67" s="505">
        <f t="shared" si="2"/>
        <v>0</v>
      </c>
      <c r="P67" s="279"/>
      <c r="R67" s="244"/>
      <c r="S67" s="244"/>
      <c r="T67" s="244"/>
      <c r="U67" s="244"/>
    </row>
    <row r="68" spans="2:21" ht="12.5">
      <c r="B68" s="145" t="str">
        <f t="shared" si="0"/>
        <v/>
      </c>
      <c r="C68" s="496">
        <f>IF(D11="","-",+C67+1)</f>
        <v>2068</v>
      </c>
      <c r="D68" s="509">
        <f>IF(F67+SUM(E$17:E67)=D$10,F67,D$10-SUM(E$17:E67))</f>
        <v>0</v>
      </c>
      <c r="E68" s="510">
        <f t="shared" si="9"/>
        <v>0</v>
      </c>
      <c r="F68" s="511">
        <f t="shared" si="7"/>
        <v>0</v>
      </c>
      <c r="G68" s="512">
        <f t="shared" si="4"/>
        <v>0</v>
      </c>
      <c r="H68" s="478">
        <f t="shared" si="5"/>
        <v>0</v>
      </c>
      <c r="I68" s="501">
        <f t="shared" si="8"/>
        <v>0</v>
      </c>
      <c r="J68" s="501"/>
      <c r="K68" s="513"/>
      <c r="L68" s="505">
        <f t="shared" si="6"/>
        <v>0</v>
      </c>
      <c r="M68" s="513"/>
      <c r="N68" s="505">
        <f t="shared" si="1"/>
        <v>0</v>
      </c>
      <c r="O68" s="505">
        <f t="shared" si="2"/>
        <v>0</v>
      </c>
      <c r="P68" s="279"/>
      <c r="R68" s="244"/>
      <c r="S68" s="244"/>
      <c r="T68" s="244"/>
      <c r="U68" s="244"/>
    </row>
    <row r="69" spans="2:21" ht="12.5">
      <c r="B69" s="145" t="str">
        <f t="shared" si="0"/>
        <v/>
      </c>
      <c r="C69" s="496">
        <f>IF(D11="","-",+C68+1)</f>
        <v>2069</v>
      </c>
      <c r="D69" s="509">
        <f>IF(F68+SUM(E$17:E68)=D$10,F68,D$10-SUM(E$17:E68))</f>
        <v>0</v>
      </c>
      <c r="E69" s="510">
        <f t="shared" si="9"/>
        <v>0</v>
      </c>
      <c r="F69" s="511">
        <f t="shared" si="7"/>
        <v>0</v>
      </c>
      <c r="G69" s="512">
        <f t="shared" si="4"/>
        <v>0</v>
      </c>
      <c r="H69" s="478">
        <f t="shared" si="5"/>
        <v>0</v>
      </c>
      <c r="I69" s="501">
        <f t="shared" si="8"/>
        <v>0</v>
      </c>
      <c r="J69" s="501"/>
      <c r="K69" s="513"/>
      <c r="L69" s="505">
        <f t="shared" si="6"/>
        <v>0</v>
      </c>
      <c r="M69" s="513"/>
      <c r="N69" s="505">
        <f t="shared" si="1"/>
        <v>0</v>
      </c>
      <c r="O69" s="505">
        <f t="shared" si="2"/>
        <v>0</v>
      </c>
      <c r="P69" s="279"/>
      <c r="R69" s="244"/>
      <c r="S69" s="244"/>
      <c r="T69" s="244"/>
      <c r="U69" s="244"/>
    </row>
    <row r="70" spans="2:21" ht="12.5">
      <c r="B70" s="145" t="str">
        <f t="shared" si="0"/>
        <v/>
      </c>
      <c r="C70" s="496">
        <f>IF(D11="","-",+C69+1)</f>
        <v>2070</v>
      </c>
      <c r="D70" s="509">
        <f>IF(F69+SUM(E$17:E69)=D$10,F69,D$10-SUM(E$17:E69))</f>
        <v>0</v>
      </c>
      <c r="E70" s="510">
        <f t="shared" si="9"/>
        <v>0</v>
      </c>
      <c r="F70" s="511">
        <f t="shared" si="7"/>
        <v>0</v>
      </c>
      <c r="G70" s="512">
        <f t="shared" si="4"/>
        <v>0</v>
      </c>
      <c r="H70" s="478">
        <f t="shared" si="5"/>
        <v>0</v>
      </c>
      <c r="I70" s="501">
        <f t="shared" si="8"/>
        <v>0</v>
      </c>
      <c r="J70" s="501"/>
      <c r="K70" s="513"/>
      <c r="L70" s="505">
        <f t="shared" si="6"/>
        <v>0</v>
      </c>
      <c r="M70" s="513"/>
      <c r="N70" s="505">
        <f t="shared" si="1"/>
        <v>0</v>
      </c>
      <c r="O70" s="505">
        <f t="shared" si="2"/>
        <v>0</v>
      </c>
      <c r="P70" s="279"/>
      <c r="R70" s="244"/>
      <c r="S70" s="244"/>
      <c r="T70" s="244"/>
      <c r="U70" s="244"/>
    </row>
    <row r="71" spans="2:21" ht="12.5">
      <c r="B71" s="145" t="str">
        <f t="shared" si="0"/>
        <v/>
      </c>
      <c r="C71" s="496">
        <f>IF(D11="","-",+C70+1)</f>
        <v>2071</v>
      </c>
      <c r="D71" s="509">
        <f>IF(F70+SUM(E$17:E70)=D$10,F70,D$10-SUM(E$17:E70))</f>
        <v>0</v>
      </c>
      <c r="E71" s="510">
        <f t="shared" si="9"/>
        <v>0</v>
      </c>
      <c r="F71" s="511">
        <f t="shared" si="7"/>
        <v>0</v>
      </c>
      <c r="G71" s="512">
        <f t="shared" si="4"/>
        <v>0</v>
      </c>
      <c r="H71" s="478">
        <f t="shared" si="5"/>
        <v>0</v>
      </c>
      <c r="I71" s="501">
        <f t="shared" si="8"/>
        <v>0</v>
      </c>
      <c r="J71" s="501"/>
      <c r="K71" s="513"/>
      <c r="L71" s="505">
        <f t="shared" si="6"/>
        <v>0</v>
      </c>
      <c r="M71" s="513"/>
      <c r="N71" s="505">
        <f t="shared" si="1"/>
        <v>0</v>
      </c>
      <c r="O71" s="505">
        <f t="shared" si="2"/>
        <v>0</v>
      </c>
      <c r="P71" s="279"/>
      <c r="R71" s="244"/>
      <c r="S71" s="244"/>
      <c r="T71" s="244"/>
      <c r="U71" s="244"/>
    </row>
    <row r="72" spans="2:21" ht="12.5">
      <c r="B72" s="145" t="str">
        <f t="shared" si="0"/>
        <v/>
      </c>
      <c r="C72" s="496">
        <f>IF(D11="","-",+C71+1)</f>
        <v>2072</v>
      </c>
      <c r="D72" s="509">
        <f>IF(F71+SUM(E$17:E71)=D$10,F71,D$10-SUM(E$17:E71))</f>
        <v>0</v>
      </c>
      <c r="E72" s="510">
        <f t="shared" si="9"/>
        <v>0</v>
      </c>
      <c r="F72" s="511">
        <f t="shared" si="7"/>
        <v>0</v>
      </c>
      <c r="G72" s="512">
        <f t="shared" si="4"/>
        <v>0</v>
      </c>
      <c r="H72" s="478">
        <f t="shared" si="5"/>
        <v>0</v>
      </c>
      <c r="I72" s="501">
        <f t="shared" si="8"/>
        <v>0</v>
      </c>
      <c r="J72" s="501"/>
      <c r="K72" s="513"/>
      <c r="L72" s="505">
        <f t="shared" si="6"/>
        <v>0</v>
      </c>
      <c r="M72" s="513"/>
      <c r="N72" s="505">
        <f t="shared" si="1"/>
        <v>0</v>
      </c>
      <c r="O72" s="505">
        <f t="shared" si="2"/>
        <v>0</v>
      </c>
      <c r="P72" s="279"/>
      <c r="R72" s="244"/>
      <c r="S72" s="244"/>
      <c r="T72" s="244"/>
      <c r="U72" s="244"/>
    </row>
    <row r="73" spans="2:21" ht="13" thickBot="1">
      <c r="B73" s="145" t="str">
        <f t="shared" si="0"/>
        <v/>
      </c>
      <c r="C73" s="525">
        <f>IF(D11="","-",+C72+1)</f>
        <v>2073</v>
      </c>
      <c r="D73" s="526">
        <f>IF(F72+SUM(E$17:E72)=D$10,F72,D$10-SUM(E$17:E72))</f>
        <v>0</v>
      </c>
      <c r="E73" s="527">
        <f t="shared" si="9"/>
        <v>0</v>
      </c>
      <c r="F73" s="528">
        <f t="shared" si="7"/>
        <v>0</v>
      </c>
      <c r="G73" s="528">
        <f t="shared" si="4"/>
        <v>0</v>
      </c>
      <c r="H73" s="528">
        <f t="shared" si="5"/>
        <v>0</v>
      </c>
      <c r="I73" s="530">
        <f t="shared" si="8"/>
        <v>0</v>
      </c>
      <c r="J73" s="501"/>
      <c r="K73" s="531"/>
      <c r="L73" s="532">
        <f t="shared" si="6"/>
        <v>0</v>
      </c>
      <c r="M73" s="531"/>
      <c r="N73" s="532">
        <f t="shared" si="1"/>
        <v>0</v>
      </c>
      <c r="O73" s="532">
        <f t="shared" si="2"/>
        <v>0</v>
      </c>
      <c r="P73" s="279"/>
      <c r="R73" s="244"/>
      <c r="S73" s="244"/>
      <c r="T73" s="244"/>
      <c r="U73" s="244"/>
    </row>
    <row r="74" spans="2:21" ht="12.5">
      <c r="C74" s="350" t="s">
        <v>75</v>
      </c>
      <c r="D74" s="295"/>
      <c r="E74" s="295">
        <f>SUM(E17:E73)</f>
        <v>11056565</v>
      </c>
      <c r="F74" s="295"/>
      <c r="G74" s="295">
        <f>SUM(G17:G73)</f>
        <v>37199955.082750447</v>
      </c>
      <c r="H74" s="295">
        <f>SUM(H17:H73)</f>
        <v>37199955.082750447</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534" t="str">
        <f ca="1">P1</f>
        <v>OKT Project 15 of 19</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2019</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1363844.0888504181</v>
      </c>
      <c r="N88" s="545">
        <f>IF(J93&lt;D11,0,VLOOKUP(J93,C17:O73,11))</f>
        <v>1363844.0888504181</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1463163.9846782268</v>
      </c>
      <c r="N89" s="549">
        <f>IF(J93&lt;D11,0,VLOOKUP(J93,C100:P155,7))</f>
        <v>1463163.9846782268</v>
      </c>
      <c r="O89" s="550">
        <f>+N89-M89</f>
        <v>0</v>
      </c>
      <c r="P89" s="244"/>
      <c r="Q89" s="244"/>
      <c r="R89" s="244"/>
      <c r="S89" s="244"/>
      <c r="T89" s="244"/>
      <c r="U89" s="244"/>
    </row>
    <row r="90" spans="1:21" ht="13.5" thickBot="1">
      <c r="C90" s="455" t="s">
        <v>82</v>
      </c>
      <c r="D90" s="551" t="str">
        <f>+D7</f>
        <v>Darlington Roman Nose 138 kv</v>
      </c>
      <c r="E90" s="244"/>
      <c r="F90" s="244"/>
      <c r="G90" s="244"/>
      <c r="H90" s="244"/>
      <c r="I90" s="326"/>
      <c r="J90" s="326"/>
      <c r="K90" s="552"/>
      <c r="L90" s="553" t="s">
        <v>135</v>
      </c>
      <c r="M90" s="554">
        <f>+M89-M88</f>
        <v>99319.89582780865</v>
      </c>
      <c r="N90" s="554">
        <f>+N89-N88</f>
        <v>99319.89582780865</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
        <v>261</v>
      </c>
      <c r="E92" s="559"/>
      <c r="F92" s="559"/>
      <c r="G92" s="559"/>
      <c r="H92" s="559"/>
      <c r="I92" s="559"/>
      <c r="J92" s="559"/>
      <c r="K92" s="561"/>
      <c r="P92" s="469"/>
      <c r="Q92" s="244"/>
      <c r="R92" s="244"/>
      <c r="S92" s="244"/>
      <c r="T92" s="244"/>
      <c r="U92" s="244"/>
    </row>
    <row r="93" spans="1:21" ht="13">
      <c r="C93" s="473" t="s">
        <v>49</v>
      </c>
      <c r="D93" s="599">
        <v>11056565</v>
      </c>
      <c r="E93" s="249" t="s">
        <v>84</v>
      </c>
      <c r="H93" s="409"/>
      <c r="I93" s="409"/>
      <c r="J93" s="472">
        <f>+'OKT.WS.G.BPU.ATRR.True-up'!M16</f>
        <v>2019</v>
      </c>
      <c r="K93" s="468"/>
      <c r="L93" s="295" t="s">
        <v>85</v>
      </c>
      <c r="P93" s="279"/>
      <c r="Q93" s="244"/>
      <c r="R93" s="244"/>
      <c r="S93" s="244"/>
      <c r="T93" s="244"/>
      <c r="U93" s="244"/>
    </row>
    <row r="94" spans="1:21" ht="12.5">
      <c r="C94" s="473" t="s">
        <v>52</v>
      </c>
      <c r="D94" s="640">
        <f>D11</f>
        <v>2017</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99">
        <f>D12</f>
        <v>6</v>
      </c>
      <c r="E95" s="473" t="s">
        <v>55</v>
      </c>
      <c r="F95" s="409"/>
      <c r="G95" s="409"/>
      <c r="J95" s="477">
        <f>'OKT.WS.G.BPU.ATRR.True-up'!$F$81</f>
        <v>0.10800922592579221</v>
      </c>
      <c r="K95" s="414"/>
      <c r="L95" s="145" t="s">
        <v>86</v>
      </c>
      <c r="P95" s="279"/>
      <c r="Q95" s="244"/>
      <c r="R95" s="244"/>
      <c r="S95" s="244"/>
      <c r="T95" s="244"/>
      <c r="U95" s="244"/>
    </row>
    <row r="96" spans="1:21" ht="12.5">
      <c r="C96" s="473" t="s">
        <v>57</v>
      </c>
      <c r="D96" s="475">
        <f>'OKT.WS.G.BPU.ATRR.True-up'!F$93</f>
        <v>33</v>
      </c>
      <c r="E96" s="473" t="s">
        <v>58</v>
      </c>
      <c r="F96" s="409"/>
      <c r="G96" s="409"/>
      <c r="J96" s="477">
        <f>IF(H88="",J95,'OKT.WS.G.BPU.ATRR.True-up'!$F$80)</f>
        <v>0.10800922592579221</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335047.42424242425</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B100" s="145" t="str">
        <f t="shared" ref="B100:B155" si="10">IF(D100=F99,"","IU")</f>
        <v>IU</v>
      </c>
      <c r="C100" s="496">
        <f>IF(D94= "","-",D94)</f>
        <v>2017</v>
      </c>
      <c r="D100" s="497">
        <v>0</v>
      </c>
      <c r="E100" s="499">
        <v>137920.28750000001</v>
      </c>
      <c r="F100" s="506">
        <v>10895702.7125</v>
      </c>
      <c r="G100" s="506">
        <v>5447851.3562500002</v>
      </c>
      <c r="H100" s="499">
        <v>777148.63448158256</v>
      </c>
      <c r="I100" s="500">
        <v>777148.63448158256</v>
      </c>
      <c r="J100" s="505">
        <f>+I100-H100</f>
        <v>0</v>
      </c>
      <c r="K100" s="505"/>
      <c r="L100" s="507">
        <f>+H100</f>
        <v>777148.63448158256</v>
      </c>
      <c r="M100" s="505">
        <f>IF(L100&lt;&gt;0,+H100-L100,0)</f>
        <v>0</v>
      </c>
      <c r="N100" s="507">
        <f>+I100</f>
        <v>777148.63448158256</v>
      </c>
      <c r="O100" s="587">
        <f>IF(N100&lt;&gt;0,+I100-N100,0)</f>
        <v>0</v>
      </c>
      <c r="P100" s="505">
        <f>+O100-M100</f>
        <v>0</v>
      </c>
      <c r="Q100" s="244"/>
      <c r="R100" s="244"/>
      <c r="S100" s="244"/>
      <c r="T100" s="244"/>
      <c r="U100" s="244"/>
    </row>
    <row r="101" spans="1:21" ht="12.5">
      <c r="B101" s="145" t="str">
        <f t="shared" si="10"/>
        <v/>
      </c>
      <c r="C101" s="496">
        <f>IF(D94="","-",+C100+1)</f>
        <v>2018</v>
      </c>
      <c r="D101" s="497">
        <v>10895702.7125</v>
      </c>
      <c r="E101" s="499">
        <v>306489.52777777775</v>
      </c>
      <c r="F101" s="506">
        <v>10589213.184722222</v>
      </c>
      <c r="G101" s="506">
        <v>10742457.94861111</v>
      </c>
      <c r="H101" s="499">
        <v>1440489.6981770755</v>
      </c>
      <c r="I101" s="500">
        <v>1440489.6981770755</v>
      </c>
      <c r="J101" s="505">
        <v>0</v>
      </c>
      <c r="K101" s="505"/>
      <c r="L101" s="507">
        <f>H101</f>
        <v>1440489.6981770755</v>
      </c>
      <c r="M101" s="505">
        <f>IF(L101&lt;&gt;0,+H101-L101,0)</f>
        <v>0</v>
      </c>
      <c r="N101" s="507">
        <f>I101</f>
        <v>1440489.6981770755</v>
      </c>
      <c r="O101" s="505">
        <f>IF(N101&lt;&gt;0,+I101-N101,0)</f>
        <v>0</v>
      </c>
      <c r="P101" s="505">
        <f>+O101-M101</f>
        <v>0</v>
      </c>
      <c r="Q101" s="244"/>
      <c r="R101" s="244"/>
      <c r="S101" s="244"/>
      <c r="T101" s="244"/>
      <c r="U101" s="244"/>
    </row>
    <row r="102" spans="1:21" ht="12.5">
      <c r="B102" s="145" t="str">
        <f t="shared" si="10"/>
        <v>IU</v>
      </c>
      <c r="C102" s="496">
        <f>IF(D94="","-",+C101+1)</f>
        <v>2019</v>
      </c>
      <c r="D102" s="350">
        <f>IF(F101+SUM(E$100:E101)=D$93,F101,D$93-SUM(E$100:E101))</f>
        <v>10612155.184722222</v>
      </c>
      <c r="E102" s="510">
        <f>IF(+$J$97&lt;F101,$J$97,D102)</f>
        <v>335047.42424242425</v>
      </c>
      <c r="F102" s="511">
        <f t="shared" ref="F102:F155" si="11">+D102-E102</f>
        <v>10277107.760479799</v>
      </c>
      <c r="G102" s="511">
        <f t="shared" ref="G102:G155" si="12">+(F102+D102)/2</f>
        <v>10444631.472601011</v>
      </c>
      <c r="H102" s="524">
        <f t="shared" ref="H102:H155" si="13">+J$95*G102+E102</f>
        <v>1463163.9846782268</v>
      </c>
      <c r="I102" s="573">
        <f t="shared" ref="I102:I155" si="14">+J$96*G102+E102</f>
        <v>1463163.9846782268</v>
      </c>
      <c r="J102" s="505">
        <f t="shared" ref="J102:J155" si="15">+I102-H102</f>
        <v>0</v>
      </c>
      <c r="K102" s="505"/>
      <c r="L102" s="513"/>
      <c r="M102" s="505">
        <f t="shared" ref="M102:M155" si="16">IF(L102&lt;&gt;0,+H102-L102,0)</f>
        <v>0</v>
      </c>
      <c r="N102" s="513"/>
      <c r="O102" s="505">
        <f t="shared" ref="O102:O155" si="17">IF(N102&lt;&gt;0,+I102-N102,0)</f>
        <v>0</v>
      </c>
      <c r="P102" s="505">
        <f t="shared" ref="P102:P155" si="18">+O102-M102</f>
        <v>0</v>
      </c>
      <c r="Q102" s="244"/>
      <c r="R102" s="244"/>
      <c r="S102" s="244"/>
      <c r="T102" s="244"/>
      <c r="U102" s="244"/>
    </row>
    <row r="103" spans="1:21" ht="12.5">
      <c r="B103" s="145" t="str">
        <f t="shared" si="10"/>
        <v/>
      </c>
      <c r="C103" s="496">
        <f>IF(D94="","-",+C102+1)</f>
        <v>2020</v>
      </c>
      <c r="D103" s="350">
        <f>IF(F102+SUM(E$100:E102)=D$93,F102,D$93-SUM(E$100:E102))</f>
        <v>10277107.760479799</v>
      </c>
      <c r="E103" s="510">
        <f t="shared" ref="E103:E134" si="19">IF(+J$97&lt;F102,J$97,D103)</f>
        <v>335047.42424242425</v>
      </c>
      <c r="F103" s="511">
        <f t="shared" si="11"/>
        <v>9942060.3362373747</v>
      </c>
      <c r="G103" s="511">
        <f t="shared" si="12"/>
        <v>10109584.048358586</v>
      </c>
      <c r="H103" s="524">
        <f t="shared" si="13"/>
        <v>1426975.7717373718</v>
      </c>
      <c r="I103" s="573">
        <f t="shared" si="14"/>
        <v>1426975.7717373718</v>
      </c>
      <c r="J103" s="505">
        <f t="shared" si="15"/>
        <v>0</v>
      </c>
      <c r="K103" s="505"/>
      <c r="L103" s="513"/>
      <c r="M103" s="505">
        <f t="shared" si="16"/>
        <v>0</v>
      </c>
      <c r="N103" s="513"/>
      <c r="O103" s="505">
        <f t="shared" si="17"/>
        <v>0</v>
      </c>
      <c r="P103" s="505">
        <f t="shared" si="18"/>
        <v>0</v>
      </c>
      <c r="Q103" s="244"/>
      <c r="R103" s="244"/>
      <c r="S103" s="244"/>
      <c r="T103" s="244"/>
      <c r="U103" s="244"/>
    </row>
    <row r="104" spans="1:21" ht="12.5">
      <c r="B104" s="145" t="str">
        <f t="shared" si="10"/>
        <v/>
      </c>
      <c r="C104" s="496">
        <f>IF(D94="","-",+C103+1)</f>
        <v>2021</v>
      </c>
      <c r="D104" s="350">
        <f>IF(F103+SUM(E$100:E103)=D$93,F103,D$93-SUM(E$100:E103))</f>
        <v>9942060.3362373747</v>
      </c>
      <c r="E104" s="510">
        <f t="shared" si="19"/>
        <v>335047.42424242425</v>
      </c>
      <c r="F104" s="511">
        <f t="shared" si="11"/>
        <v>9607012.9119949508</v>
      </c>
      <c r="G104" s="511">
        <f t="shared" si="12"/>
        <v>9774536.6241161637</v>
      </c>
      <c r="H104" s="524">
        <f>+J$95*G104+E104</f>
        <v>1390787.5587965173</v>
      </c>
      <c r="I104" s="573">
        <f t="shared" si="14"/>
        <v>1390787.5587965173</v>
      </c>
      <c r="J104" s="505">
        <f t="shared" si="15"/>
        <v>0</v>
      </c>
      <c r="K104" s="505"/>
      <c r="L104" s="513"/>
      <c r="M104" s="505">
        <f t="shared" si="16"/>
        <v>0</v>
      </c>
      <c r="N104" s="513"/>
      <c r="O104" s="505">
        <f t="shared" si="17"/>
        <v>0</v>
      </c>
      <c r="P104" s="505">
        <f t="shared" si="18"/>
        <v>0</v>
      </c>
      <c r="Q104" s="244"/>
      <c r="R104" s="244"/>
      <c r="S104" s="244"/>
      <c r="T104" s="244"/>
      <c r="U104" s="244"/>
    </row>
    <row r="105" spans="1:21" ht="12.5">
      <c r="B105" s="145" t="str">
        <f t="shared" si="10"/>
        <v/>
      </c>
      <c r="C105" s="496">
        <f>IF(D94="","-",+C104+1)</f>
        <v>2022</v>
      </c>
      <c r="D105" s="350">
        <f>IF(F104+SUM(E$100:E104)=D$93,F104,D$93-SUM(E$100:E104))</f>
        <v>9607012.9119949508</v>
      </c>
      <c r="E105" s="510">
        <f t="shared" si="19"/>
        <v>335047.42424242425</v>
      </c>
      <c r="F105" s="511">
        <f t="shared" si="11"/>
        <v>9271965.487752527</v>
      </c>
      <c r="G105" s="511">
        <f t="shared" si="12"/>
        <v>9439489.199873738</v>
      </c>
      <c r="H105" s="524">
        <f t="shared" si="13"/>
        <v>1354599.3458556624</v>
      </c>
      <c r="I105" s="573">
        <f t="shared" si="14"/>
        <v>1354599.3458556624</v>
      </c>
      <c r="J105" s="505">
        <f t="shared" si="15"/>
        <v>0</v>
      </c>
      <c r="K105" s="505"/>
      <c r="L105" s="513"/>
      <c r="M105" s="505">
        <f t="shared" si="16"/>
        <v>0</v>
      </c>
      <c r="N105" s="513"/>
      <c r="O105" s="505">
        <f t="shared" si="17"/>
        <v>0</v>
      </c>
      <c r="P105" s="505">
        <f t="shared" si="18"/>
        <v>0</v>
      </c>
      <c r="Q105" s="244"/>
      <c r="R105" s="244"/>
      <c r="S105" s="244"/>
      <c r="T105" s="244"/>
      <c r="U105" s="244"/>
    </row>
    <row r="106" spans="1:21" ht="12.5">
      <c r="B106" s="145" t="str">
        <f t="shared" si="10"/>
        <v/>
      </c>
      <c r="C106" s="496">
        <f>IF(D94="","-",+C105+1)</f>
        <v>2023</v>
      </c>
      <c r="D106" s="350">
        <f>IF(F105+SUM(E$100:E105)=D$93,F105,D$93-SUM(E$100:E105))</f>
        <v>9271965.487752527</v>
      </c>
      <c r="E106" s="510">
        <f t="shared" si="19"/>
        <v>335047.42424242425</v>
      </c>
      <c r="F106" s="511">
        <f t="shared" si="11"/>
        <v>8936918.0635101032</v>
      </c>
      <c r="G106" s="511">
        <f t="shared" si="12"/>
        <v>9104441.775631316</v>
      </c>
      <c r="H106" s="524">
        <f t="shared" si="13"/>
        <v>1318411.1329148079</v>
      </c>
      <c r="I106" s="573">
        <f t="shared" si="14"/>
        <v>1318411.1329148079</v>
      </c>
      <c r="J106" s="505">
        <f t="shared" si="15"/>
        <v>0</v>
      </c>
      <c r="K106" s="505"/>
      <c r="L106" s="513"/>
      <c r="M106" s="505">
        <f t="shared" si="16"/>
        <v>0</v>
      </c>
      <c r="N106" s="513"/>
      <c r="O106" s="505">
        <f t="shared" si="17"/>
        <v>0</v>
      </c>
      <c r="P106" s="505">
        <f t="shared" si="18"/>
        <v>0</v>
      </c>
      <c r="Q106" s="244"/>
      <c r="R106" s="244"/>
      <c r="S106" s="244"/>
      <c r="T106" s="244"/>
      <c r="U106" s="244"/>
    </row>
    <row r="107" spans="1:21" ht="12.5">
      <c r="B107" s="145" t="str">
        <f t="shared" si="10"/>
        <v/>
      </c>
      <c r="C107" s="496">
        <f>IF(D94="","-",+C106+1)</f>
        <v>2024</v>
      </c>
      <c r="D107" s="350">
        <f>IF(F106+SUM(E$100:E106)=D$93,F106,D$93-SUM(E$100:E106))</f>
        <v>8936918.0635101032</v>
      </c>
      <c r="E107" s="510">
        <f t="shared" si="19"/>
        <v>335047.42424242425</v>
      </c>
      <c r="F107" s="511">
        <f t="shared" si="11"/>
        <v>8601870.6392676793</v>
      </c>
      <c r="G107" s="511">
        <f t="shared" si="12"/>
        <v>8769394.3513888903</v>
      </c>
      <c r="H107" s="524">
        <f t="shared" si="13"/>
        <v>1282222.9199739529</v>
      </c>
      <c r="I107" s="573">
        <f t="shared" si="14"/>
        <v>1282222.9199739529</v>
      </c>
      <c r="J107" s="505">
        <f t="shared" si="15"/>
        <v>0</v>
      </c>
      <c r="K107" s="505"/>
      <c r="L107" s="513"/>
      <c r="M107" s="505">
        <f t="shared" si="16"/>
        <v>0</v>
      </c>
      <c r="N107" s="513"/>
      <c r="O107" s="505">
        <f t="shared" si="17"/>
        <v>0</v>
      </c>
      <c r="P107" s="505">
        <f t="shared" si="18"/>
        <v>0</v>
      </c>
      <c r="Q107" s="244"/>
      <c r="R107" s="244"/>
      <c r="S107" s="244"/>
      <c r="T107" s="244"/>
      <c r="U107" s="244"/>
    </row>
    <row r="108" spans="1:21" ht="12.5">
      <c r="B108" s="145" t="str">
        <f t="shared" si="10"/>
        <v/>
      </c>
      <c r="C108" s="496">
        <f>IF(D94="","-",+C107+1)</f>
        <v>2025</v>
      </c>
      <c r="D108" s="350">
        <f>IF(F107+SUM(E$100:E107)=D$93,F107,D$93-SUM(E$100:E107))</f>
        <v>8601870.6392676793</v>
      </c>
      <c r="E108" s="510">
        <f t="shared" si="19"/>
        <v>335047.42424242425</v>
      </c>
      <c r="F108" s="511">
        <f t="shared" si="11"/>
        <v>8266823.2150252555</v>
      </c>
      <c r="G108" s="511">
        <f t="shared" si="12"/>
        <v>8434346.9271464683</v>
      </c>
      <c r="H108" s="524">
        <f t="shared" si="13"/>
        <v>1246034.7070330984</v>
      </c>
      <c r="I108" s="573">
        <f t="shared" si="14"/>
        <v>1246034.7070330984</v>
      </c>
      <c r="J108" s="505">
        <f t="shared" si="15"/>
        <v>0</v>
      </c>
      <c r="K108" s="505"/>
      <c r="L108" s="513"/>
      <c r="M108" s="505">
        <f t="shared" si="16"/>
        <v>0</v>
      </c>
      <c r="N108" s="513"/>
      <c r="O108" s="505">
        <f t="shared" si="17"/>
        <v>0</v>
      </c>
      <c r="P108" s="505">
        <f t="shared" si="18"/>
        <v>0</v>
      </c>
      <c r="Q108" s="244"/>
      <c r="R108" s="244"/>
      <c r="S108" s="244"/>
      <c r="T108" s="244"/>
      <c r="U108" s="244"/>
    </row>
    <row r="109" spans="1:21" ht="12.5">
      <c r="B109" s="145" t="str">
        <f t="shared" si="10"/>
        <v/>
      </c>
      <c r="C109" s="496">
        <f>IF(D94="","-",+C108+1)</f>
        <v>2026</v>
      </c>
      <c r="D109" s="350">
        <f>IF(F108+SUM(E$100:E108)=D$93,F108,D$93-SUM(E$100:E108))</f>
        <v>8266823.2150252555</v>
      </c>
      <c r="E109" s="510">
        <f t="shared" si="19"/>
        <v>335047.42424242425</v>
      </c>
      <c r="F109" s="511">
        <f t="shared" si="11"/>
        <v>7931775.7907828316</v>
      </c>
      <c r="G109" s="511">
        <f t="shared" si="12"/>
        <v>8099299.5029040435</v>
      </c>
      <c r="H109" s="524">
        <f t="shared" si="13"/>
        <v>1209846.4940922437</v>
      </c>
      <c r="I109" s="573">
        <f t="shared" si="14"/>
        <v>1209846.4940922437</v>
      </c>
      <c r="J109" s="505">
        <f t="shared" si="15"/>
        <v>0</v>
      </c>
      <c r="K109" s="505"/>
      <c r="L109" s="513"/>
      <c r="M109" s="505">
        <f t="shared" si="16"/>
        <v>0</v>
      </c>
      <c r="N109" s="513"/>
      <c r="O109" s="505">
        <f t="shared" si="17"/>
        <v>0</v>
      </c>
      <c r="P109" s="505">
        <f t="shared" si="18"/>
        <v>0</v>
      </c>
      <c r="Q109" s="244"/>
      <c r="R109" s="244"/>
      <c r="S109" s="244"/>
      <c r="T109" s="244"/>
      <c r="U109" s="244"/>
    </row>
    <row r="110" spans="1:21" ht="12.5">
      <c r="B110" s="145" t="str">
        <f t="shared" si="10"/>
        <v/>
      </c>
      <c r="C110" s="496">
        <f>IF(D94="","-",+C109+1)</f>
        <v>2027</v>
      </c>
      <c r="D110" s="350">
        <f>IF(F109+SUM(E$100:E109)=D$93,F109,D$93-SUM(E$100:E109))</f>
        <v>7931775.7907828316</v>
      </c>
      <c r="E110" s="510">
        <f t="shared" si="19"/>
        <v>335047.42424242425</v>
      </c>
      <c r="F110" s="511">
        <f t="shared" si="11"/>
        <v>7596728.3665404078</v>
      </c>
      <c r="G110" s="511">
        <f t="shared" si="12"/>
        <v>7764252.0786616197</v>
      </c>
      <c r="H110" s="524">
        <f t="shared" si="13"/>
        <v>1173658.281151389</v>
      </c>
      <c r="I110" s="573">
        <f t="shared" si="14"/>
        <v>1173658.281151389</v>
      </c>
      <c r="J110" s="505">
        <f t="shared" si="15"/>
        <v>0</v>
      </c>
      <c r="K110" s="505"/>
      <c r="L110" s="513"/>
      <c r="M110" s="505">
        <f t="shared" si="16"/>
        <v>0</v>
      </c>
      <c r="N110" s="513"/>
      <c r="O110" s="505">
        <f t="shared" si="17"/>
        <v>0</v>
      </c>
      <c r="P110" s="505">
        <f t="shared" si="18"/>
        <v>0</v>
      </c>
      <c r="Q110" s="244"/>
      <c r="R110" s="244"/>
      <c r="S110" s="244"/>
      <c r="T110" s="244"/>
      <c r="U110" s="244"/>
    </row>
    <row r="111" spans="1:21" ht="12.5">
      <c r="B111" s="145" t="str">
        <f t="shared" si="10"/>
        <v/>
      </c>
      <c r="C111" s="496">
        <f>IF(D94="","-",+C110+1)</f>
        <v>2028</v>
      </c>
      <c r="D111" s="350">
        <f>IF(F110+SUM(E$100:E110)=D$93,F110,D$93-SUM(E$100:E110))</f>
        <v>7596728.3665404078</v>
      </c>
      <c r="E111" s="510">
        <f t="shared" si="19"/>
        <v>335047.42424242425</v>
      </c>
      <c r="F111" s="511">
        <f t="shared" si="11"/>
        <v>7261680.9422979839</v>
      </c>
      <c r="G111" s="511">
        <f t="shared" si="12"/>
        <v>7429204.6544191958</v>
      </c>
      <c r="H111" s="524">
        <f t="shared" si="13"/>
        <v>1137470.0682105343</v>
      </c>
      <c r="I111" s="573">
        <f t="shared" si="14"/>
        <v>1137470.0682105343</v>
      </c>
      <c r="J111" s="505">
        <f t="shared" si="15"/>
        <v>0</v>
      </c>
      <c r="K111" s="505"/>
      <c r="L111" s="513"/>
      <c r="M111" s="505">
        <f t="shared" si="16"/>
        <v>0</v>
      </c>
      <c r="N111" s="513"/>
      <c r="O111" s="505">
        <f t="shared" si="17"/>
        <v>0</v>
      </c>
      <c r="P111" s="505">
        <f t="shared" si="18"/>
        <v>0</v>
      </c>
      <c r="Q111" s="244"/>
      <c r="R111" s="244"/>
      <c r="S111" s="244"/>
      <c r="T111" s="244"/>
      <c r="U111" s="244"/>
    </row>
    <row r="112" spans="1:21" ht="12.5">
      <c r="B112" s="145" t="str">
        <f t="shared" si="10"/>
        <v/>
      </c>
      <c r="C112" s="496">
        <f>IF(D94="","-",+C111+1)</f>
        <v>2029</v>
      </c>
      <c r="D112" s="350">
        <f>IF(F111+SUM(E$100:E111)=D$93,F111,D$93-SUM(E$100:E111))</f>
        <v>7261680.9422979839</v>
      </c>
      <c r="E112" s="510">
        <f t="shared" si="19"/>
        <v>335047.42424242425</v>
      </c>
      <c r="F112" s="511">
        <f t="shared" si="11"/>
        <v>6926633.5180555601</v>
      </c>
      <c r="G112" s="511">
        <f t="shared" si="12"/>
        <v>7094157.230176772</v>
      </c>
      <c r="H112" s="524">
        <f t="shared" si="13"/>
        <v>1101281.8552696796</v>
      </c>
      <c r="I112" s="573">
        <f t="shared" si="14"/>
        <v>1101281.8552696796</v>
      </c>
      <c r="J112" s="505">
        <f t="shared" si="15"/>
        <v>0</v>
      </c>
      <c r="K112" s="505"/>
      <c r="L112" s="513"/>
      <c r="M112" s="505">
        <f t="shared" si="16"/>
        <v>0</v>
      </c>
      <c r="N112" s="513"/>
      <c r="O112" s="505">
        <f t="shared" si="17"/>
        <v>0</v>
      </c>
      <c r="P112" s="505">
        <f t="shared" si="18"/>
        <v>0</v>
      </c>
      <c r="Q112" s="244"/>
      <c r="R112" s="244"/>
      <c r="S112" s="244"/>
      <c r="T112" s="244"/>
      <c r="U112" s="244"/>
    </row>
    <row r="113" spans="2:21" ht="12.5">
      <c r="B113" s="145" t="str">
        <f t="shared" si="10"/>
        <v/>
      </c>
      <c r="C113" s="496">
        <f>IF(D94="","-",+C112+1)</f>
        <v>2030</v>
      </c>
      <c r="D113" s="350">
        <f>IF(F112+SUM(E$100:E112)=D$93,F112,D$93-SUM(E$100:E112))</f>
        <v>6926633.5180555601</v>
      </c>
      <c r="E113" s="510">
        <f t="shared" si="19"/>
        <v>335047.42424242425</v>
      </c>
      <c r="F113" s="511">
        <f t="shared" si="11"/>
        <v>6591586.0938131362</v>
      </c>
      <c r="G113" s="511">
        <f t="shared" si="12"/>
        <v>6759109.8059343481</v>
      </c>
      <c r="H113" s="524">
        <f t="shared" si="13"/>
        <v>1065093.6423288248</v>
      </c>
      <c r="I113" s="573">
        <f t="shared" si="14"/>
        <v>1065093.6423288248</v>
      </c>
      <c r="J113" s="505">
        <f t="shared" si="15"/>
        <v>0</v>
      </c>
      <c r="K113" s="505"/>
      <c r="L113" s="513"/>
      <c r="M113" s="505">
        <f t="shared" si="16"/>
        <v>0</v>
      </c>
      <c r="N113" s="513"/>
      <c r="O113" s="505">
        <f t="shared" si="17"/>
        <v>0</v>
      </c>
      <c r="P113" s="505">
        <f t="shared" si="18"/>
        <v>0</v>
      </c>
      <c r="Q113" s="244"/>
      <c r="R113" s="244"/>
      <c r="S113" s="244"/>
      <c r="T113" s="244"/>
      <c r="U113" s="244"/>
    </row>
    <row r="114" spans="2:21" ht="12.5">
      <c r="B114" s="145" t="str">
        <f t="shared" si="10"/>
        <v/>
      </c>
      <c r="C114" s="496">
        <f>IF(D94="","-",+C113+1)</f>
        <v>2031</v>
      </c>
      <c r="D114" s="350">
        <f>IF(F113+SUM(E$100:E113)=D$93,F113,D$93-SUM(E$100:E113))</f>
        <v>6591586.0938131362</v>
      </c>
      <c r="E114" s="510">
        <f t="shared" si="19"/>
        <v>335047.42424242425</v>
      </c>
      <c r="F114" s="511">
        <f t="shared" si="11"/>
        <v>6256538.6695707124</v>
      </c>
      <c r="G114" s="511">
        <f t="shared" si="12"/>
        <v>6424062.3816919243</v>
      </c>
      <c r="H114" s="524">
        <f t="shared" si="13"/>
        <v>1028905.4293879701</v>
      </c>
      <c r="I114" s="573">
        <f t="shared" si="14"/>
        <v>1028905.4293879701</v>
      </c>
      <c r="J114" s="505">
        <f t="shared" si="15"/>
        <v>0</v>
      </c>
      <c r="K114" s="505"/>
      <c r="L114" s="513"/>
      <c r="M114" s="505">
        <f t="shared" si="16"/>
        <v>0</v>
      </c>
      <c r="N114" s="513"/>
      <c r="O114" s="505">
        <f t="shared" si="17"/>
        <v>0</v>
      </c>
      <c r="P114" s="505">
        <f t="shared" si="18"/>
        <v>0</v>
      </c>
      <c r="Q114" s="244"/>
      <c r="R114" s="244"/>
      <c r="S114" s="244"/>
      <c r="T114" s="244"/>
      <c r="U114" s="244"/>
    </row>
    <row r="115" spans="2:21" ht="12.5">
      <c r="B115" s="145" t="str">
        <f t="shared" si="10"/>
        <v/>
      </c>
      <c r="C115" s="496">
        <f>IF(D94="","-",+C114+1)</f>
        <v>2032</v>
      </c>
      <c r="D115" s="350">
        <f>IF(F114+SUM(E$100:E114)=D$93,F114,D$93-SUM(E$100:E114))</f>
        <v>6256538.6695707124</v>
      </c>
      <c r="E115" s="510">
        <f t="shared" si="19"/>
        <v>335047.42424242425</v>
      </c>
      <c r="F115" s="511">
        <f t="shared" si="11"/>
        <v>5921491.2453282885</v>
      </c>
      <c r="G115" s="511">
        <f t="shared" si="12"/>
        <v>6089014.9574495004</v>
      </c>
      <c r="H115" s="524">
        <f t="shared" si="13"/>
        <v>992717.21644711541</v>
      </c>
      <c r="I115" s="573">
        <f t="shared" si="14"/>
        <v>992717.21644711541</v>
      </c>
      <c r="J115" s="505">
        <f t="shared" si="15"/>
        <v>0</v>
      </c>
      <c r="K115" s="505"/>
      <c r="L115" s="513"/>
      <c r="M115" s="505">
        <f t="shared" si="16"/>
        <v>0</v>
      </c>
      <c r="N115" s="513"/>
      <c r="O115" s="505">
        <f t="shared" si="17"/>
        <v>0</v>
      </c>
      <c r="P115" s="505">
        <f t="shared" si="18"/>
        <v>0</v>
      </c>
      <c r="Q115" s="244"/>
      <c r="R115" s="244"/>
      <c r="S115" s="244"/>
      <c r="T115" s="244"/>
      <c r="U115" s="244"/>
    </row>
    <row r="116" spans="2:21" ht="12.5">
      <c r="B116" s="145" t="str">
        <f t="shared" si="10"/>
        <v/>
      </c>
      <c r="C116" s="496">
        <f>IF(D94="","-",+C115+1)</f>
        <v>2033</v>
      </c>
      <c r="D116" s="350">
        <f>IF(F115+SUM(E$100:E115)=D$93,F115,D$93-SUM(E$100:E115))</f>
        <v>5921491.2453282885</v>
      </c>
      <c r="E116" s="510">
        <f t="shared" si="19"/>
        <v>335047.42424242425</v>
      </c>
      <c r="F116" s="511">
        <f t="shared" si="11"/>
        <v>5586443.8210858647</v>
      </c>
      <c r="G116" s="511">
        <f t="shared" si="12"/>
        <v>5753967.5332070766</v>
      </c>
      <c r="H116" s="524">
        <f t="shared" si="13"/>
        <v>956529.00350626069</v>
      </c>
      <c r="I116" s="573">
        <f t="shared" si="14"/>
        <v>956529.00350626069</v>
      </c>
      <c r="J116" s="505">
        <f t="shared" si="15"/>
        <v>0</v>
      </c>
      <c r="K116" s="505"/>
      <c r="L116" s="513"/>
      <c r="M116" s="505">
        <f t="shared" si="16"/>
        <v>0</v>
      </c>
      <c r="N116" s="513"/>
      <c r="O116" s="505">
        <f t="shared" si="17"/>
        <v>0</v>
      </c>
      <c r="P116" s="505">
        <f t="shared" si="18"/>
        <v>0</v>
      </c>
      <c r="Q116" s="244"/>
      <c r="R116" s="244"/>
      <c r="S116" s="244"/>
      <c r="T116" s="244"/>
      <c r="U116" s="244"/>
    </row>
    <row r="117" spans="2:21" ht="12.5">
      <c r="B117" s="145" t="str">
        <f t="shared" si="10"/>
        <v/>
      </c>
      <c r="C117" s="496">
        <f>IF(D94="","-",+C116+1)</f>
        <v>2034</v>
      </c>
      <c r="D117" s="350">
        <f>IF(F116+SUM(E$100:E116)=D$93,F116,D$93-SUM(E$100:E116))</f>
        <v>5586443.8210858647</v>
      </c>
      <c r="E117" s="510">
        <f t="shared" si="19"/>
        <v>335047.42424242425</v>
      </c>
      <c r="F117" s="511">
        <f t="shared" si="11"/>
        <v>5251396.3968434408</v>
      </c>
      <c r="G117" s="511">
        <f t="shared" si="12"/>
        <v>5418920.1089646528</v>
      </c>
      <c r="H117" s="524">
        <f t="shared" si="13"/>
        <v>920340.79056540597</v>
      </c>
      <c r="I117" s="573">
        <f t="shared" si="14"/>
        <v>920340.79056540597</v>
      </c>
      <c r="J117" s="505">
        <f t="shared" si="15"/>
        <v>0</v>
      </c>
      <c r="K117" s="505"/>
      <c r="L117" s="513"/>
      <c r="M117" s="505">
        <f t="shared" si="16"/>
        <v>0</v>
      </c>
      <c r="N117" s="513"/>
      <c r="O117" s="505">
        <f t="shared" si="17"/>
        <v>0</v>
      </c>
      <c r="P117" s="505">
        <f t="shared" si="18"/>
        <v>0</v>
      </c>
      <c r="Q117" s="244"/>
      <c r="R117" s="244"/>
      <c r="S117" s="244"/>
      <c r="T117" s="244"/>
      <c r="U117" s="244"/>
    </row>
    <row r="118" spans="2:21" ht="12.5">
      <c r="B118" s="145" t="str">
        <f t="shared" si="10"/>
        <v/>
      </c>
      <c r="C118" s="496">
        <f>IF(D94="","-",+C117+1)</f>
        <v>2035</v>
      </c>
      <c r="D118" s="350">
        <f>IF(F117+SUM(E$100:E117)=D$93,F117,D$93-SUM(E$100:E117))</f>
        <v>5251396.3968434408</v>
      </c>
      <c r="E118" s="510">
        <f t="shared" si="19"/>
        <v>335047.42424242425</v>
      </c>
      <c r="F118" s="511">
        <f t="shared" si="11"/>
        <v>4916348.972601017</v>
      </c>
      <c r="G118" s="511">
        <f t="shared" si="12"/>
        <v>5083872.6847222289</v>
      </c>
      <c r="H118" s="524">
        <f t="shared" si="13"/>
        <v>884152.57762455125</v>
      </c>
      <c r="I118" s="573">
        <f t="shared" si="14"/>
        <v>884152.57762455125</v>
      </c>
      <c r="J118" s="505">
        <f t="shared" si="15"/>
        <v>0</v>
      </c>
      <c r="K118" s="505"/>
      <c r="L118" s="513"/>
      <c r="M118" s="505">
        <f t="shared" si="16"/>
        <v>0</v>
      </c>
      <c r="N118" s="513"/>
      <c r="O118" s="505">
        <f t="shared" si="17"/>
        <v>0</v>
      </c>
      <c r="P118" s="505">
        <f t="shared" si="18"/>
        <v>0</v>
      </c>
      <c r="Q118" s="244"/>
      <c r="R118" s="244"/>
      <c r="S118" s="244"/>
      <c r="T118" s="244"/>
      <c r="U118" s="244"/>
    </row>
    <row r="119" spans="2:21" ht="12.5">
      <c r="B119" s="145" t="str">
        <f t="shared" si="10"/>
        <v/>
      </c>
      <c r="C119" s="496">
        <f>IF(D94="","-",+C118+1)</f>
        <v>2036</v>
      </c>
      <c r="D119" s="350">
        <f>IF(F118+SUM(E$100:E118)=D$93,F118,D$93-SUM(E$100:E118))</f>
        <v>4916348.972601017</v>
      </c>
      <c r="E119" s="510">
        <f t="shared" si="19"/>
        <v>335047.42424242425</v>
      </c>
      <c r="F119" s="511">
        <f t="shared" si="11"/>
        <v>4581301.5483585931</v>
      </c>
      <c r="G119" s="511">
        <f t="shared" si="12"/>
        <v>4748825.2604798051</v>
      </c>
      <c r="H119" s="524">
        <f t="shared" si="13"/>
        <v>847964.36468369653</v>
      </c>
      <c r="I119" s="573">
        <f t="shared" si="14"/>
        <v>847964.36468369653</v>
      </c>
      <c r="J119" s="505">
        <f t="shared" si="15"/>
        <v>0</v>
      </c>
      <c r="K119" s="505"/>
      <c r="L119" s="513"/>
      <c r="M119" s="505">
        <f t="shared" si="16"/>
        <v>0</v>
      </c>
      <c r="N119" s="513"/>
      <c r="O119" s="505">
        <f t="shared" si="17"/>
        <v>0</v>
      </c>
      <c r="P119" s="505">
        <f t="shared" si="18"/>
        <v>0</v>
      </c>
      <c r="Q119" s="244"/>
      <c r="R119" s="244"/>
      <c r="S119" s="244"/>
      <c r="T119" s="244"/>
      <c r="U119" s="244"/>
    </row>
    <row r="120" spans="2:21" ht="12.5">
      <c r="B120" s="145" t="str">
        <f t="shared" si="10"/>
        <v/>
      </c>
      <c r="C120" s="496">
        <f>IF(D94="","-",+C119+1)</f>
        <v>2037</v>
      </c>
      <c r="D120" s="350">
        <f>IF(F119+SUM(E$100:E119)=D$93,F119,D$93-SUM(E$100:E119))</f>
        <v>4581301.5483585931</v>
      </c>
      <c r="E120" s="510">
        <f t="shared" si="19"/>
        <v>335047.42424242425</v>
      </c>
      <c r="F120" s="511">
        <f t="shared" si="11"/>
        <v>4246254.1241161693</v>
      </c>
      <c r="G120" s="511">
        <f t="shared" si="12"/>
        <v>4413777.8362373812</v>
      </c>
      <c r="H120" s="524">
        <f t="shared" si="13"/>
        <v>811776.15174284182</v>
      </c>
      <c r="I120" s="573">
        <f t="shared" si="14"/>
        <v>811776.15174284182</v>
      </c>
      <c r="J120" s="505">
        <f t="shared" si="15"/>
        <v>0</v>
      </c>
      <c r="K120" s="505"/>
      <c r="L120" s="513"/>
      <c r="M120" s="505">
        <f t="shared" si="16"/>
        <v>0</v>
      </c>
      <c r="N120" s="513"/>
      <c r="O120" s="505">
        <f t="shared" si="17"/>
        <v>0</v>
      </c>
      <c r="P120" s="505">
        <f t="shared" si="18"/>
        <v>0</v>
      </c>
      <c r="Q120" s="244"/>
      <c r="R120" s="244"/>
      <c r="S120" s="244"/>
      <c r="T120" s="244"/>
      <c r="U120" s="244"/>
    </row>
    <row r="121" spans="2:21" ht="12.5">
      <c r="B121" s="145" t="str">
        <f t="shared" si="10"/>
        <v/>
      </c>
      <c r="C121" s="496">
        <f>IF(D94="","-",+C120+1)</f>
        <v>2038</v>
      </c>
      <c r="D121" s="350">
        <f>IF(F120+SUM(E$100:E120)=D$93,F120,D$93-SUM(E$100:E120))</f>
        <v>4246254.1241161693</v>
      </c>
      <c r="E121" s="510">
        <f t="shared" si="19"/>
        <v>335047.42424242425</v>
      </c>
      <c r="F121" s="511">
        <f t="shared" si="11"/>
        <v>3911206.699873745</v>
      </c>
      <c r="G121" s="511">
        <f t="shared" si="12"/>
        <v>4078730.4119949574</v>
      </c>
      <c r="H121" s="524">
        <f t="shared" si="13"/>
        <v>775587.9388019871</v>
      </c>
      <c r="I121" s="573">
        <f t="shared" si="14"/>
        <v>775587.9388019871</v>
      </c>
      <c r="J121" s="505">
        <f t="shared" si="15"/>
        <v>0</v>
      </c>
      <c r="K121" s="505"/>
      <c r="L121" s="513"/>
      <c r="M121" s="505">
        <f t="shared" si="16"/>
        <v>0</v>
      </c>
      <c r="N121" s="513"/>
      <c r="O121" s="505">
        <f t="shared" si="17"/>
        <v>0</v>
      </c>
      <c r="P121" s="505">
        <f t="shared" si="18"/>
        <v>0</v>
      </c>
      <c r="Q121" s="244"/>
      <c r="R121" s="244"/>
      <c r="S121" s="244"/>
      <c r="T121" s="244"/>
      <c r="U121" s="244"/>
    </row>
    <row r="122" spans="2:21" ht="12.5">
      <c r="B122" s="145" t="str">
        <f t="shared" si="10"/>
        <v/>
      </c>
      <c r="C122" s="496">
        <f>IF(D94="","-",+C121+1)</f>
        <v>2039</v>
      </c>
      <c r="D122" s="350">
        <f>IF(F121+SUM(E$100:E121)=D$93,F121,D$93-SUM(E$100:E121))</f>
        <v>3911206.699873745</v>
      </c>
      <c r="E122" s="510">
        <f t="shared" si="19"/>
        <v>335047.42424242425</v>
      </c>
      <c r="F122" s="511">
        <f t="shared" si="11"/>
        <v>3576159.2756313207</v>
      </c>
      <c r="G122" s="511">
        <f t="shared" si="12"/>
        <v>3743682.9877525326</v>
      </c>
      <c r="H122" s="524">
        <f t="shared" si="13"/>
        <v>739399.72586113238</v>
      </c>
      <c r="I122" s="573">
        <f t="shared" si="14"/>
        <v>739399.72586113238</v>
      </c>
      <c r="J122" s="505">
        <f t="shared" si="15"/>
        <v>0</v>
      </c>
      <c r="K122" s="505"/>
      <c r="L122" s="513"/>
      <c r="M122" s="505">
        <f t="shared" si="16"/>
        <v>0</v>
      </c>
      <c r="N122" s="513"/>
      <c r="O122" s="505">
        <f t="shared" si="17"/>
        <v>0</v>
      </c>
      <c r="P122" s="505">
        <f t="shared" si="18"/>
        <v>0</v>
      </c>
      <c r="Q122" s="244"/>
      <c r="R122" s="244"/>
      <c r="S122" s="244"/>
      <c r="T122" s="244"/>
      <c r="U122" s="244"/>
    </row>
    <row r="123" spans="2:21" ht="12.5">
      <c r="B123" s="145" t="str">
        <f t="shared" si="10"/>
        <v/>
      </c>
      <c r="C123" s="496">
        <f>IF(D94="","-",+C122+1)</f>
        <v>2040</v>
      </c>
      <c r="D123" s="350">
        <f>IF(F122+SUM(E$100:E122)=D$93,F122,D$93-SUM(E$100:E122))</f>
        <v>3576159.2756313207</v>
      </c>
      <c r="E123" s="510">
        <f t="shared" si="19"/>
        <v>335047.42424242425</v>
      </c>
      <c r="F123" s="511">
        <f t="shared" si="11"/>
        <v>3241111.8513888963</v>
      </c>
      <c r="G123" s="511">
        <f t="shared" si="12"/>
        <v>3408635.5635101087</v>
      </c>
      <c r="H123" s="524">
        <f t="shared" si="13"/>
        <v>703211.51292027766</v>
      </c>
      <c r="I123" s="573">
        <f t="shared" si="14"/>
        <v>703211.51292027766</v>
      </c>
      <c r="J123" s="505">
        <f t="shared" si="15"/>
        <v>0</v>
      </c>
      <c r="K123" s="505"/>
      <c r="L123" s="513"/>
      <c r="M123" s="505">
        <f t="shared" si="16"/>
        <v>0</v>
      </c>
      <c r="N123" s="513"/>
      <c r="O123" s="505">
        <f t="shared" si="17"/>
        <v>0</v>
      </c>
      <c r="P123" s="505">
        <f t="shared" si="18"/>
        <v>0</v>
      </c>
      <c r="Q123" s="244"/>
      <c r="R123" s="244"/>
      <c r="S123" s="244"/>
      <c r="T123" s="244"/>
      <c r="U123" s="244"/>
    </row>
    <row r="124" spans="2:21" ht="12.5">
      <c r="B124" s="145" t="str">
        <f t="shared" si="10"/>
        <v/>
      </c>
      <c r="C124" s="496">
        <f>IF(D94="","-",+C123+1)</f>
        <v>2041</v>
      </c>
      <c r="D124" s="350">
        <f>IF(F123+SUM(E$100:E123)=D$93,F123,D$93-SUM(E$100:E123))</f>
        <v>3241111.8513888963</v>
      </c>
      <c r="E124" s="510">
        <f t="shared" si="19"/>
        <v>335047.42424242425</v>
      </c>
      <c r="F124" s="511">
        <f t="shared" si="11"/>
        <v>2906064.427146472</v>
      </c>
      <c r="G124" s="511">
        <f t="shared" si="12"/>
        <v>3073588.139267684</v>
      </c>
      <c r="H124" s="524">
        <f t="shared" si="13"/>
        <v>667023.29997942282</v>
      </c>
      <c r="I124" s="573">
        <f t="shared" si="14"/>
        <v>667023.29997942282</v>
      </c>
      <c r="J124" s="505">
        <f t="shared" si="15"/>
        <v>0</v>
      </c>
      <c r="K124" s="505"/>
      <c r="L124" s="513"/>
      <c r="M124" s="505">
        <f t="shared" si="16"/>
        <v>0</v>
      </c>
      <c r="N124" s="513"/>
      <c r="O124" s="505">
        <f t="shared" si="17"/>
        <v>0</v>
      </c>
      <c r="P124" s="505">
        <f t="shared" si="18"/>
        <v>0</v>
      </c>
      <c r="Q124" s="244"/>
      <c r="R124" s="244"/>
      <c r="S124" s="244"/>
      <c r="T124" s="244"/>
      <c r="U124" s="244"/>
    </row>
    <row r="125" spans="2:21" ht="12.5">
      <c r="B125" s="145" t="str">
        <f t="shared" si="10"/>
        <v/>
      </c>
      <c r="C125" s="496">
        <f>IF(D94="","-",+C124+1)</f>
        <v>2042</v>
      </c>
      <c r="D125" s="350">
        <f>IF(F124+SUM(E$100:E124)=D$93,F124,D$93-SUM(E$100:E124))</f>
        <v>2906064.427146472</v>
      </c>
      <c r="E125" s="510">
        <f t="shared" si="19"/>
        <v>335047.42424242425</v>
      </c>
      <c r="F125" s="511">
        <f t="shared" si="11"/>
        <v>2571017.0029040477</v>
      </c>
      <c r="G125" s="511">
        <f t="shared" si="12"/>
        <v>2738540.7150252601</v>
      </c>
      <c r="H125" s="524">
        <f t="shared" si="13"/>
        <v>630835.0870385681</v>
      </c>
      <c r="I125" s="573">
        <f t="shared" si="14"/>
        <v>630835.0870385681</v>
      </c>
      <c r="J125" s="505">
        <f t="shared" si="15"/>
        <v>0</v>
      </c>
      <c r="K125" s="505"/>
      <c r="L125" s="513"/>
      <c r="M125" s="505">
        <f t="shared" si="16"/>
        <v>0</v>
      </c>
      <c r="N125" s="513"/>
      <c r="O125" s="505">
        <f t="shared" si="17"/>
        <v>0</v>
      </c>
      <c r="P125" s="505">
        <f t="shared" si="18"/>
        <v>0</v>
      </c>
      <c r="Q125" s="244"/>
      <c r="R125" s="244"/>
      <c r="S125" s="244"/>
      <c r="T125" s="244"/>
      <c r="U125" s="244"/>
    </row>
    <row r="126" spans="2:21" ht="12.5">
      <c r="B126" s="145" t="str">
        <f t="shared" si="10"/>
        <v/>
      </c>
      <c r="C126" s="496">
        <f>IF(D94="","-",+C125+1)</f>
        <v>2043</v>
      </c>
      <c r="D126" s="350">
        <f>IF(F125+SUM(E$100:E125)=D$93,F125,D$93-SUM(E$100:E125))</f>
        <v>2571017.0029040477</v>
      </c>
      <c r="E126" s="510">
        <f t="shared" si="19"/>
        <v>335047.42424242425</v>
      </c>
      <c r="F126" s="511">
        <f t="shared" si="11"/>
        <v>2235969.5786616234</v>
      </c>
      <c r="G126" s="511">
        <f t="shared" si="12"/>
        <v>2403493.2907828353</v>
      </c>
      <c r="H126" s="524">
        <f t="shared" si="13"/>
        <v>594646.87409771327</v>
      </c>
      <c r="I126" s="573">
        <f t="shared" si="14"/>
        <v>594646.87409771327</v>
      </c>
      <c r="J126" s="505">
        <f t="shared" si="15"/>
        <v>0</v>
      </c>
      <c r="K126" s="505"/>
      <c r="L126" s="513"/>
      <c r="M126" s="505">
        <f t="shared" si="16"/>
        <v>0</v>
      </c>
      <c r="N126" s="513"/>
      <c r="O126" s="505">
        <f t="shared" si="17"/>
        <v>0</v>
      </c>
      <c r="P126" s="505">
        <f t="shared" si="18"/>
        <v>0</v>
      </c>
      <c r="Q126" s="244"/>
      <c r="R126" s="244"/>
      <c r="S126" s="244"/>
      <c r="T126" s="244"/>
      <c r="U126" s="244"/>
    </row>
    <row r="127" spans="2:21" ht="12.5">
      <c r="B127" s="145" t="str">
        <f t="shared" si="10"/>
        <v/>
      </c>
      <c r="C127" s="496">
        <f>IF(D94="","-",+C126+1)</f>
        <v>2044</v>
      </c>
      <c r="D127" s="350">
        <f>IF(F126+SUM(E$100:E126)=D$93,F126,D$93-SUM(E$100:E126))</f>
        <v>2235969.5786616234</v>
      </c>
      <c r="E127" s="510">
        <f t="shared" si="19"/>
        <v>335047.42424242425</v>
      </c>
      <c r="F127" s="511">
        <f t="shared" si="11"/>
        <v>1900922.1544191991</v>
      </c>
      <c r="G127" s="511">
        <f t="shared" si="12"/>
        <v>2068445.8665404113</v>
      </c>
      <c r="H127" s="524">
        <f t="shared" si="13"/>
        <v>558458.66115685855</v>
      </c>
      <c r="I127" s="573">
        <f t="shared" si="14"/>
        <v>558458.66115685855</v>
      </c>
      <c r="J127" s="505">
        <f t="shared" si="15"/>
        <v>0</v>
      </c>
      <c r="K127" s="505"/>
      <c r="L127" s="513"/>
      <c r="M127" s="505">
        <f t="shared" si="16"/>
        <v>0</v>
      </c>
      <c r="N127" s="513"/>
      <c r="O127" s="505">
        <f t="shared" si="17"/>
        <v>0</v>
      </c>
      <c r="P127" s="505">
        <f t="shared" si="18"/>
        <v>0</v>
      </c>
      <c r="Q127" s="244"/>
      <c r="R127" s="244"/>
      <c r="S127" s="244"/>
      <c r="T127" s="244"/>
      <c r="U127" s="244"/>
    </row>
    <row r="128" spans="2:21" ht="12.5">
      <c r="B128" s="145" t="str">
        <f t="shared" si="10"/>
        <v/>
      </c>
      <c r="C128" s="496">
        <f>IF(D94="","-",+C127+1)</f>
        <v>2045</v>
      </c>
      <c r="D128" s="350">
        <f>IF(F127+SUM(E$100:E127)=D$93,F127,D$93-SUM(E$100:E127))</f>
        <v>1900922.1544191991</v>
      </c>
      <c r="E128" s="510">
        <f t="shared" si="19"/>
        <v>335047.42424242425</v>
      </c>
      <c r="F128" s="511">
        <f t="shared" si="11"/>
        <v>1565874.7301767748</v>
      </c>
      <c r="G128" s="511">
        <f t="shared" si="12"/>
        <v>1733398.4422979869</v>
      </c>
      <c r="H128" s="524">
        <f t="shared" si="13"/>
        <v>522270.44821600383</v>
      </c>
      <c r="I128" s="573">
        <f t="shared" si="14"/>
        <v>522270.44821600383</v>
      </c>
      <c r="J128" s="505">
        <f t="shared" si="15"/>
        <v>0</v>
      </c>
      <c r="K128" s="505"/>
      <c r="L128" s="513"/>
      <c r="M128" s="505">
        <f t="shared" si="16"/>
        <v>0</v>
      </c>
      <c r="N128" s="513"/>
      <c r="O128" s="505">
        <f t="shared" si="17"/>
        <v>0</v>
      </c>
      <c r="P128" s="505">
        <f t="shared" si="18"/>
        <v>0</v>
      </c>
      <c r="Q128" s="244"/>
      <c r="R128" s="244"/>
      <c r="S128" s="244"/>
      <c r="T128" s="244"/>
      <c r="U128" s="244"/>
    </row>
    <row r="129" spans="2:21" ht="12.5">
      <c r="B129" s="145" t="str">
        <f t="shared" si="10"/>
        <v/>
      </c>
      <c r="C129" s="496">
        <f>IF(D94="","-",+C128+1)</f>
        <v>2046</v>
      </c>
      <c r="D129" s="350">
        <f>IF(F128+SUM(E$100:E128)=D$93,F128,D$93-SUM(E$100:E128))</f>
        <v>1565874.7301767748</v>
      </c>
      <c r="E129" s="510">
        <f t="shared" si="19"/>
        <v>335047.42424242425</v>
      </c>
      <c r="F129" s="511">
        <f t="shared" si="11"/>
        <v>1230827.3059343505</v>
      </c>
      <c r="G129" s="511">
        <f t="shared" si="12"/>
        <v>1398351.0180555626</v>
      </c>
      <c r="H129" s="524">
        <f t="shared" si="13"/>
        <v>486082.23527514905</v>
      </c>
      <c r="I129" s="573">
        <f t="shared" si="14"/>
        <v>486082.23527514905</v>
      </c>
      <c r="J129" s="505">
        <f t="shared" si="15"/>
        <v>0</v>
      </c>
      <c r="K129" s="505"/>
      <c r="L129" s="513"/>
      <c r="M129" s="505">
        <f t="shared" si="16"/>
        <v>0</v>
      </c>
      <c r="N129" s="513"/>
      <c r="O129" s="505">
        <f t="shared" si="17"/>
        <v>0</v>
      </c>
      <c r="P129" s="505">
        <f t="shared" si="18"/>
        <v>0</v>
      </c>
      <c r="Q129" s="244"/>
      <c r="R129" s="244"/>
      <c r="S129" s="244"/>
      <c r="T129" s="244"/>
      <c r="U129" s="244"/>
    </row>
    <row r="130" spans="2:21" ht="12.5">
      <c r="B130" s="145" t="str">
        <f t="shared" si="10"/>
        <v/>
      </c>
      <c r="C130" s="496">
        <f>IF(D94="","-",+C129+1)</f>
        <v>2047</v>
      </c>
      <c r="D130" s="350">
        <f>IF(F129+SUM(E$100:E129)=D$93,F129,D$93-SUM(E$100:E129))</f>
        <v>1230827.3059343505</v>
      </c>
      <c r="E130" s="510">
        <f t="shared" si="19"/>
        <v>335047.42424242425</v>
      </c>
      <c r="F130" s="511">
        <f t="shared" si="11"/>
        <v>895779.88169192616</v>
      </c>
      <c r="G130" s="511">
        <f t="shared" si="12"/>
        <v>1063303.5938131383</v>
      </c>
      <c r="H130" s="524">
        <f t="shared" si="13"/>
        <v>449894.02233429428</v>
      </c>
      <c r="I130" s="573">
        <f t="shared" si="14"/>
        <v>449894.02233429428</v>
      </c>
      <c r="J130" s="505">
        <f t="shared" si="15"/>
        <v>0</v>
      </c>
      <c r="K130" s="505"/>
      <c r="L130" s="513"/>
      <c r="M130" s="505">
        <f t="shared" si="16"/>
        <v>0</v>
      </c>
      <c r="N130" s="513"/>
      <c r="O130" s="505">
        <f t="shared" si="17"/>
        <v>0</v>
      </c>
      <c r="P130" s="505">
        <f t="shared" si="18"/>
        <v>0</v>
      </c>
      <c r="Q130" s="244"/>
      <c r="R130" s="244"/>
      <c r="S130" s="244"/>
      <c r="T130" s="244"/>
      <c r="U130" s="244"/>
    </row>
    <row r="131" spans="2:21" ht="12.5">
      <c r="B131" s="145" t="str">
        <f t="shared" si="10"/>
        <v/>
      </c>
      <c r="C131" s="496">
        <f>IF(D94="","-",+C130+1)</f>
        <v>2048</v>
      </c>
      <c r="D131" s="350">
        <f>IF(F130+SUM(E$100:E130)=D$93,F130,D$93-SUM(E$100:E130))</f>
        <v>895779.88169192616</v>
      </c>
      <c r="E131" s="510">
        <f t="shared" si="19"/>
        <v>335047.42424242425</v>
      </c>
      <c r="F131" s="511">
        <f t="shared" si="11"/>
        <v>560732.45744950185</v>
      </c>
      <c r="G131" s="511">
        <f t="shared" si="12"/>
        <v>728256.169570714</v>
      </c>
      <c r="H131" s="524">
        <f t="shared" si="13"/>
        <v>413705.80939343956</v>
      </c>
      <c r="I131" s="573">
        <f t="shared" si="14"/>
        <v>413705.80939343956</v>
      </c>
      <c r="J131" s="505">
        <f t="shared" si="15"/>
        <v>0</v>
      </c>
      <c r="K131" s="505"/>
      <c r="L131" s="513"/>
      <c r="M131" s="505">
        <f t="shared" si="16"/>
        <v>0</v>
      </c>
      <c r="N131" s="513"/>
      <c r="O131" s="505">
        <f t="shared" si="17"/>
        <v>0</v>
      </c>
      <c r="P131" s="505">
        <f t="shared" si="18"/>
        <v>0</v>
      </c>
      <c r="Q131" s="244"/>
      <c r="R131" s="244"/>
      <c r="S131" s="244"/>
      <c r="T131" s="244"/>
      <c r="U131" s="244"/>
    </row>
    <row r="132" spans="2:21" ht="12.5">
      <c r="B132" s="145" t="str">
        <f t="shared" si="10"/>
        <v/>
      </c>
      <c r="C132" s="496">
        <f>IF(D94="","-",+C131+1)</f>
        <v>2049</v>
      </c>
      <c r="D132" s="350">
        <f>IF(F131+SUM(E$100:E131)=D$93,F131,D$93-SUM(E$100:E131))</f>
        <v>560732.45744950185</v>
      </c>
      <c r="E132" s="510">
        <f t="shared" si="19"/>
        <v>335047.42424242425</v>
      </c>
      <c r="F132" s="511">
        <f t="shared" si="11"/>
        <v>225685.03320707759</v>
      </c>
      <c r="G132" s="511">
        <f t="shared" si="12"/>
        <v>393208.74532828969</v>
      </c>
      <c r="H132" s="524">
        <f t="shared" si="13"/>
        <v>377517.59645258478</v>
      </c>
      <c r="I132" s="573">
        <f t="shared" si="14"/>
        <v>377517.59645258478</v>
      </c>
      <c r="J132" s="505">
        <f t="shared" si="15"/>
        <v>0</v>
      </c>
      <c r="K132" s="505"/>
      <c r="L132" s="513"/>
      <c r="M132" s="505">
        <f t="shared" si="16"/>
        <v>0</v>
      </c>
      <c r="N132" s="513"/>
      <c r="O132" s="505">
        <f t="shared" si="17"/>
        <v>0</v>
      </c>
      <c r="P132" s="505">
        <f t="shared" si="18"/>
        <v>0</v>
      </c>
      <c r="Q132" s="244"/>
      <c r="R132" s="244"/>
      <c r="S132" s="244"/>
      <c r="T132" s="244"/>
      <c r="U132" s="244"/>
    </row>
    <row r="133" spans="2:21" ht="12.5">
      <c r="B133" s="145" t="str">
        <f t="shared" si="10"/>
        <v/>
      </c>
      <c r="C133" s="496">
        <f>IF(D94="","-",+C132+1)</f>
        <v>2050</v>
      </c>
      <c r="D133" s="350">
        <f>IF(F132+SUM(E$100:E132)=D$93,F132,D$93-SUM(E$100:E132))</f>
        <v>225685.03320707759</v>
      </c>
      <c r="E133" s="510">
        <f t="shared" si="19"/>
        <v>225685.03320707759</v>
      </c>
      <c r="F133" s="511">
        <f t="shared" si="11"/>
        <v>0</v>
      </c>
      <c r="G133" s="511">
        <f t="shared" si="12"/>
        <v>112842.5166035388</v>
      </c>
      <c r="H133" s="524">
        <f t="shared" si="13"/>
        <v>237873.06607694417</v>
      </c>
      <c r="I133" s="573">
        <f t="shared" si="14"/>
        <v>237873.06607694417</v>
      </c>
      <c r="J133" s="505">
        <f t="shared" si="15"/>
        <v>0</v>
      </c>
      <c r="K133" s="505"/>
      <c r="L133" s="513"/>
      <c r="M133" s="505">
        <f t="shared" si="16"/>
        <v>0</v>
      </c>
      <c r="N133" s="513"/>
      <c r="O133" s="505">
        <f t="shared" si="17"/>
        <v>0</v>
      </c>
      <c r="P133" s="505">
        <f t="shared" si="18"/>
        <v>0</v>
      </c>
      <c r="Q133" s="244"/>
      <c r="R133" s="244"/>
      <c r="S133" s="244"/>
      <c r="T133" s="244"/>
      <c r="U133" s="244"/>
    </row>
    <row r="134" spans="2:21" ht="12.5">
      <c r="B134" s="145" t="str">
        <f t="shared" si="10"/>
        <v/>
      </c>
      <c r="C134" s="496">
        <f>IF(D94="","-",+C133+1)</f>
        <v>2051</v>
      </c>
      <c r="D134" s="350">
        <f>IF(F133+SUM(E$100:E133)=D$93,F133,D$93-SUM(E$100:E133))</f>
        <v>0</v>
      </c>
      <c r="E134" s="510">
        <f t="shared" si="19"/>
        <v>0</v>
      </c>
      <c r="F134" s="511">
        <f t="shared" si="11"/>
        <v>0</v>
      </c>
      <c r="G134" s="511">
        <f t="shared" si="12"/>
        <v>0</v>
      </c>
      <c r="H134" s="524">
        <f t="shared" si="13"/>
        <v>0</v>
      </c>
      <c r="I134" s="573">
        <f t="shared" si="14"/>
        <v>0</v>
      </c>
      <c r="J134" s="505">
        <f t="shared" si="15"/>
        <v>0</v>
      </c>
      <c r="K134" s="505"/>
      <c r="L134" s="513"/>
      <c r="M134" s="505">
        <f t="shared" si="16"/>
        <v>0</v>
      </c>
      <c r="N134" s="513"/>
      <c r="O134" s="505">
        <f t="shared" si="17"/>
        <v>0</v>
      </c>
      <c r="P134" s="505">
        <f t="shared" si="18"/>
        <v>0</v>
      </c>
      <c r="Q134" s="244"/>
      <c r="R134" s="244"/>
      <c r="S134" s="244"/>
      <c r="T134" s="244"/>
      <c r="U134" s="244"/>
    </row>
    <row r="135" spans="2:21" ht="12.5">
      <c r="B135" s="145" t="str">
        <f t="shared" si="10"/>
        <v/>
      </c>
      <c r="C135" s="496">
        <f>IF(D94="","-",+C134+1)</f>
        <v>2052</v>
      </c>
      <c r="D135" s="350">
        <f>IF(F134+SUM(E$100:E134)=D$93,F134,D$93-SUM(E$100:E134))</f>
        <v>0</v>
      </c>
      <c r="E135" s="510">
        <f t="shared" ref="E135:E155" si="20">IF(+J$97&lt;F134,J$97,D135)</f>
        <v>0</v>
      </c>
      <c r="F135" s="511">
        <f t="shared" si="11"/>
        <v>0</v>
      </c>
      <c r="G135" s="511">
        <f t="shared" si="12"/>
        <v>0</v>
      </c>
      <c r="H135" s="524">
        <f t="shared" si="13"/>
        <v>0</v>
      </c>
      <c r="I135" s="573">
        <f t="shared" si="14"/>
        <v>0</v>
      </c>
      <c r="J135" s="505">
        <f t="shared" si="15"/>
        <v>0</v>
      </c>
      <c r="K135" s="505"/>
      <c r="L135" s="513"/>
      <c r="M135" s="505">
        <f t="shared" si="16"/>
        <v>0</v>
      </c>
      <c r="N135" s="513"/>
      <c r="O135" s="505">
        <f t="shared" si="17"/>
        <v>0</v>
      </c>
      <c r="P135" s="505">
        <f t="shared" si="18"/>
        <v>0</v>
      </c>
      <c r="Q135" s="244"/>
      <c r="R135" s="244"/>
      <c r="S135" s="244"/>
      <c r="T135" s="244"/>
      <c r="U135" s="244"/>
    </row>
    <row r="136" spans="2:21" ht="12.5">
      <c r="B136" s="145" t="str">
        <f t="shared" si="10"/>
        <v/>
      </c>
      <c r="C136" s="496">
        <f>IF(D94="","-",+C135+1)</f>
        <v>2053</v>
      </c>
      <c r="D136" s="350">
        <f>IF(F135+SUM(E$100:E135)=D$93,F135,D$93-SUM(E$100:E135))</f>
        <v>0</v>
      </c>
      <c r="E136" s="510">
        <f t="shared" si="20"/>
        <v>0</v>
      </c>
      <c r="F136" s="511">
        <f t="shared" si="11"/>
        <v>0</v>
      </c>
      <c r="G136" s="511">
        <f t="shared" si="12"/>
        <v>0</v>
      </c>
      <c r="H136" s="524">
        <f t="shared" si="13"/>
        <v>0</v>
      </c>
      <c r="I136" s="573">
        <f t="shared" si="14"/>
        <v>0</v>
      </c>
      <c r="J136" s="505">
        <f t="shared" si="15"/>
        <v>0</v>
      </c>
      <c r="K136" s="505"/>
      <c r="L136" s="513"/>
      <c r="M136" s="505">
        <f t="shared" si="16"/>
        <v>0</v>
      </c>
      <c r="N136" s="513"/>
      <c r="O136" s="505">
        <f t="shared" si="17"/>
        <v>0</v>
      </c>
      <c r="P136" s="505">
        <f t="shared" si="18"/>
        <v>0</v>
      </c>
      <c r="Q136" s="244"/>
      <c r="R136" s="244"/>
      <c r="S136" s="244"/>
      <c r="T136" s="244"/>
      <c r="U136" s="244"/>
    </row>
    <row r="137" spans="2:21" ht="12.5">
      <c r="B137" s="145" t="str">
        <f t="shared" si="10"/>
        <v/>
      </c>
      <c r="C137" s="496">
        <f>IF(D94="","-",+C136+1)</f>
        <v>2054</v>
      </c>
      <c r="D137" s="350">
        <f>IF(F136+SUM(E$100:E136)=D$93,F136,D$93-SUM(E$100:E136))</f>
        <v>0</v>
      </c>
      <c r="E137" s="510">
        <f t="shared" si="20"/>
        <v>0</v>
      </c>
      <c r="F137" s="511">
        <f t="shared" si="11"/>
        <v>0</v>
      </c>
      <c r="G137" s="511">
        <f t="shared" si="12"/>
        <v>0</v>
      </c>
      <c r="H137" s="524">
        <f t="shared" si="13"/>
        <v>0</v>
      </c>
      <c r="I137" s="573">
        <f t="shared" si="14"/>
        <v>0</v>
      </c>
      <c r="J137" s="505">
        <f t="shared" si="15"/>
        <v>0</v>
      </c>
      <c r="K137" s="505"/>
      <c r="L137" s="513"/>
      <c r="M137" s="505">
        <f t="shared" si="16"/>
        <v>0</v>
      </c>
      <c r="N137" s="513"/>
      <c r="O137" s="505">
        <f t="shared" si="17"/>
        <v>0</v>
      </c>
      <c r="P137" s="505">
        <f t="shared" si="18"/>
        <v>0</v>
      </c>
      <c r="Q137" s="244"/>
      <c r="R137" s="244"/>
      <c r="S137" s="244"/>
      <c r="T137" s="244"/>
      <c r="U137" s="244"/>
    </row>
    <row r="138" spans="2:21" ht="12.5">
      <c r="B138" s="145" t="str">
        <f t="shared" si="10"/>
        <v/>
      </c>
      <c r="C138" s="496">
        <f>IF(D94="","-",+C137+1)</f>
        <v>2055</v>
      </c>
      <c r="D138" s="350">
        <f>IF(F137+SUM(E$100:E137)=D$93,F137,D$93-SUM(E$100:E137))</f>
        <v>0</v>
      </c>
      <c r="E138" s="510">
        <f t="shared" si="20"/>
        <v>0</v>
      </c>
      <c r="F138" s="511">
        <f t="shared" si="11"/>
        <v>0</v>
      </c>
      <c r="G138" s="511">
        <f t="shared" si="12"/>
        <v>0</v>
      </c>
      <c r="H138" s="524">
        <f t="shared" si="13"/>
        <v>0</v>
      </c>
      <c r="I138" s="573">
        <f t="shared" si="14"/>
        <v>0</v>
      </c>
      <c r="J138" s="505">
        <f t="shared" si="15"/>
        <v>0</v>
      </c>
      <c r="K138" s="505"/>
      <c r="L138" s="513"/>
      <c r="M138" s="505">
        <f t="shared" si="16"/>
        <v>0</v>
      </c>
      <c r="N138" s="513"/>
      <c r="O138" s="505">
        <f t="shared" si="17"/>
        <v>0</v>
      </c>
      <c r="P138" s="505">
        <f t="shared" si="18"/>
        <v>0</v>
      </c>
      <c r="Q138" s="244"/>
      <c r="R138" s="244"/>
      <c r="S138" s="244"/>
      <c r="T138" s="244"/>
      <c r="U138" s="244"/>
    </row>
    <row r="139" spans="2:21" ht="12.5">
      <c r="B139" s="145" t="str">
        <f t="shared" si="10"/>
        <v/>
      </c>
      <c r="C139" s="496">
        <f>IF(D94="","-",+C138+1)</f>
        <v>2056</v>
      </c>
      <c r="D139" s="350">
        <f>IF(F138+SUM(E$100:E138)=D$93,F138,D$93-SUM(E$100:E138))</f>
        <v>0</v>
      </c>
      <c r="E139" s="510">
        <f t="shared" si="20"/>
        <v>0</v>
      </c>
      <c r="F139" s="511">
        <f t="shared" si="11"/>
        <v>0</v>
      </c>
      <c r="G139" s="511">
        <f t="shared" si="12"/>
        <v>0</v>
      </c>
      <c r="H139" s="524">
        <f t="shared" si="13"/>
        <v>0</v>
      </c>
      <c r="I139" s="573">
        <f t="shared" si="14"/>
        <v>0</v>
      </c>
      <c r="J139" s="505">
        <f t="shared" si="15"/>
        <v>0</v>
      </c>
      <c r="K139" s="505"/>
      <c r="L139" s="513"/>
      <c r="M139" s="505">
        <f t="shared" si="16"/>
        <v>0</v>
      </c>
      <c r="N139" s="513"/>
      <c r="O139" s="505">
        <f t="shared" si="17"/>
        <v>0</v>
      </c>
      <c r="P139" s="505">
        <f t="shared" si="18"/>
        <v>0</v>
      </c>
      <c r="Q139" s="244"/>
      <c r="R139" s="244"/>
      <c r="S139" s="244"/>
      <c r="T139" s="244"/>
      <c r="U139" s="244"/>
    </row>
    <row r="140" spans="2:21" ht="12.5">
      <c r="B140" s="145" t="str">
        <f t="shared" si="10"/>
        <v/>
      </c>
      <c r="C140" s="496">
        <f>IF(D94="","-",+C139+1)</f>
        <v>2057</v>
      </c>
      <c r="D140" s="350">
        <f>IF(F139+SUM(E$100:E139)=D$93,F139,D$93-SUM(E$100:E139))</f>
        <v>0</v>
      </c>
      <c r="E140" s="510">
        <f t="shared" si="20"/>
        <v>0</v>
      </c>
      <c r="F140" s="511">
        <f t="shared" si="11"/>
        <v>0</v>
      </c>
      <c r="G140" s="511">
        <f t="shared" si="12"/>
        <v>0</v>
      </c>
      <c r="H140" s="524">
        <f t="shared" si="13"/>
        <v>0</v>
      </c>
      <c r="I140" s="573">
        <f t="shared" si="14"/>
        <v>0</v>
      </c>
      <c r="J140" s="505">
        <f t="shared" si="15"/>
        <v>0</v>
      </c>
      <c r="K140" s="505"/>
      <c r="L140" s="513"/>
      <c r="M140" s="505">
        <f t="shared" si="16"/>
        <v>0</v>
      </c>
      <c r="N140" s="513"/>
      <c r="O140" s="505">
        <f t="shared" si="17"/>
        <v>0</v>
      </c>
      <c r="P140" s="505">
        <f t="shared" si="18"/>
        <v>0</v>
      </c>
      <c r="Q140" s="244"/>
      <c r="R140" s="244"/>
      <c r="S140" s="244"/>
      <c r="T140" s="244"/>
      <c r="U140" s="244"/>
    </row>
    <row r="141" spans="2:21" ht="12.5">
      <c r="B141" s="145" t="str">
        <f t="shared" si="10"/>
        <v/>
      </c>
      <c r="C141" s="496">
        <f>IF(D94="","-",+C140+1)</f>
        <v>2058</v>
      </c>
      <c r="D141" s="350">
        <f>IF(F140+SUM(E$100:E140)=D$93,F140,D$93-SUM(E$100:E140))</f>
        <v>0</v>
      </c>
      <c r="E141" s="510">
        <f t="shared" si="20"/>
        <v>0</v>
      </c>
      <c r="F141" s="511">
        <f t="shared" si="11"/>
        <v>0</v>
      </c>
      <c r="G141" s="511">
        <f t="shared" si="12"/>
        <v>0</v>
      </c>
      <c r="H141" s="524">
        <f t="shared" si="13"/>
        <v>0</v>
      </c>
      <c r="I141" s="573">
        <f t="shared" si="14"/>
        <v>0</v>
      </c>
      <c r="J141" s="505">
        <f t="shared" si="15"/>
        <v>0</v>
      </c>
      <c r="K141" s="505"/>
      <c r="L141" s="513"/>
      <c r="M141" s="505">
        <f t="shared" si="16"/>
        <v>0</v>
      </c>
      <c r="N141" s="513"/>
      <c r="O141" s="505">
        <f t="shared" si="17"/>
        <v>0</v>
      </c>
      <c r="P141" s="505">
        <f t="shared" si="18"/>
        <v>0</v>
      </c>
      <c r="Q141" s="244"/>
      <c r="R141" s="244"/>
      <c r="S141" s="244"/>
      <c r="T141" s="244"/>
      <c r="U141" s="244"/>
    </row>
    <row r="142" spans="2:21" ht="12.5">
      <c r="B142" s="145" t="str">
        <f t="shared" si="10"/>
        <v/>
      </c>
      <c r="C142" s="496">
        <f>IF(D94="","-",+C141+1)</f>
        <v>2059</v>
      </c>
      <c r="D142" s="350">
        <f>IF(F141+SUM(E$100:E141)=D$93,F141,D$93-SUM(E$100:E141))</f>
        <v>0</v>
      </c>
      <c r="E142" s="510">
        <f t="shared" si="20"/>
        <v>0</v>
      </c>
      <c r="F142" s="511">
        <f t="shared" si="11"/>
        <v>0</v>
      </c>
      <c r="G142" s="511">
        <f t="shared" si="12"/>
        <v>0</v>
      </c>
      <c r="H142" s="524">
        <f t="shared" si="13"/>
        <v>0</v>
      </c>
      <c r="I142" s="573">
        <f t="shared" si="14"/>
        <v>0</v>
      </c>
      <c r="J142" s="505">
        <f t="shared" si="15"/>
        <v>0</v>
      </c>
      <c r="K142" s="505"/>
      <c r="L142" s="513"/>
      <c r="M142" s="505">
        <f t="shared" si="16"/>
        <v>0</v>
      </c>
      <c r="N142" s="513"/>
      <c r="O142" s="505">
        <f t="shared" si="17"/>
        <v>0</v>
      </c>
      <c r="P142" s="505">
        <f t="shared" si="18"/>
        <v>0</v>
      </c>
      <c r="Q142" s="244"/>
      <c r="R142" s="244"/>
      <c r="S142" s="244"/>
      <c r="T142" s="244"/>
      <c r="U142" s="244"/>
    </row>
    <row r="143" spans="2:21" ht="12.5">
      <c r="B143" s="145" t="str">
        <f t="shared" si="10"/>
        <v/>
      </c>
      <c r="C143" s="496">
        <f>IF(D94="","-",+C142+1)</f>
        <v>2060</v>
      </c>
      <c r="D143" s="350">
        <f>IF(F142+SUM(E$100:E142)=D$93,F142,D$93-SUM(E$100:E142))</f>
        <v>0</v>
      </c>
      <c r="E143" s="510">
        <f t="shared" si="20"/>
        <v>0</v>
      </c>
      <c r="F143" s="511">
        <f t="shared" si="11"/>
        <v>0</v>
      </c>
      <c r="G143" s="511">
        <f t="shared" si="12"/>
        <v>0</v>
      </c>
      <c r="H143" s="524">
        <f t="shared" si="13"/>
        <v>0</v>
      </c>
      <c r="I143" s="573">
        <f t="shared" si="14"/>
        <v>0</v>
      </c>
      <c r="J143" s="505">
        <f t="shared" si="15"/>
        <v>0</v>
      </c>
      <c r="K143" s="505"/>
      <c r="L143" s="513"/>
      <c r="M143" s="505">
        <f t="shared" si="16"/>
        <v>0</v>
      </c>
      <c r="N143" s="513"/>
      <c r="O143" s="505">
        <f t="shared" si="17"/>
        <v>0</v>
      </c>
      <c r="P143" s="505">
        <f t="shared" si="18"/>
        <v>0</v>
      </c>
      <c r="Q143" s="244"/>
      <c r="R143" s="244"/>
      <c r="S143" s="244"/>
      <c r="T143" s="244"/>
      <c r="U143" s="244"/>
    </row>
    <row r="144" spans="2:21" ht="12.5">
      <c r="B144" s="145" t="str">
        <f t="shared" si="10"/>
        <v/>
      </c>
      <c r="C144" s="496">
        <f>IF(D94="","-",+C143+1)</f>
        <v>2061</v>
      </c>
      <c r="D144" s="350">
        <f>IF(F143+SUM(E$100:E143)=D$93,F143,D$93-SUM(E$100:E143))</f>
        <v>0</v>
      </c>
      <c r="E144" s="510">
        <f t="shared" si="20"/>
        <v>0</v>
      </c>
      <c r="F144" s="511">
        <f t="shared" si="11"/>
        <v>0</v>
      </c>
      <c r="G144" s="511">
        <f t="shared" si="12"/>
        <v>0</v>
      </c>
      <c r="H144" s="524">
        <f t="shared" si="13"/>
        <v>0</v>
      </c>
      <c r="I144" s="573">
        <f t="shared" si="14"/>
        <v>0</v>
      </c>
      <c r="J144" s="505">
        <f t="shared" si="15"/>
        <v>0</v>
      </c>
      <c r="K144" s="505"/>
      <c r="L144" s="513"/>
      <c r="M144" s="505">
        <f t="shared" si="16"/>
        <v>0</v>
      </c>
      <c r="N144" s="513"/>
      <c r="O144" s="505">
        <f t="shared" si="17"/>
        <v>0</v>
      </c>
      <c r="P144" s="505">
        <f t="shared" si="18"/>
        <v>0</v>
      </c>
      <c r="Q144" s="244"/>
      <c r="R144" s="244"/>
      <c r="S144" s="244"/>
      <c r="T144" s="244"/>
      <c r="U144" s="244"/>
    </row>
    <row r="145" spans="2:21" ht="12.5">
      <c r="B145" s="145" t="str">
        <f t="shared" si="10"/>
        <v/>
      </c>
      <c r="C145" s="496">
        <f>IF(D94="","-",+C144+1)</f>
        <v>2062</v>
      </c>
      <c r="D145" s="350">
        <f>IF(F144+SUM(E$100:E144)=D$93,F144,D$93-SUM(E$100:E144))</f>
        <v>0</v>
      </c>
      <c r="E145" s="510">
        <f t="shared" si="20"/>
        <v>0</v>
      </c>
      <c r="F145" s="511">
        <f t="shared" si="11"/>
        <v>0</v>
      </c>
      <c r="G145" s="511">
        <f t="shared" si="12"/>
        <v>0</v>
      </c>
      <c r="H145" s="524">
        <f t="shared" si="13"/>
        <v>0</v>
      </c>
      <c r="I145" s="573">
        <f t="shared" si="14"/>
        <v>0</v>
      </c>
      <c r="J145" s="505">
        <f t="shared" si="15"/>
        <v>0</v>
      </c>
      <c r="K145" s="505"/>
      <c r="L145" s="513"/>
      <c r="M145" s="505">
        <f t="shared" si="16"/>
        <v>0</v>
      </c>
      <c r="N145" s="513"/>
      <c r="O145" s="505">
        <f t="shared" si="17"/>
        <v>0</v>
      </c>
      <c r="P145" s="505">
        <f t="shared" si="18"/>
        <v>0</v>
      </c>
      <c r="Q145" s="244"/>
      <c r="R145" s="244"/>
      <c r="S145" s="244"/>
      <c r="T145" s="244"/>
      <c r="U145" s="244"/>
    </row>
    <row r="146" spans="2:21" ht="12.5">
      <c r="B146" s="145" t="str">
        <f t="shared" si="10"/>
        <v/>
      </c>
      <c r="C146" s="496">
        <f>IF(D94="","-",+C145+1)</f>
        <v>2063</v>
      </c>
      <c r="D146" s="350">
        <f>IF(F145+SUM(E$100:E145)=D$93,F145,D$93-SUM(E$100:E145))</f>
        <v>0</v>
      </c>
      <c r="E146" s="510">
        <f t="shared" si="20"/>
        <v>0</v>
      </c>
      <c r="F146" s="511">
        <f t="shared" si="11"/>
        <v>0</v>
      </c>
      <c r="G146" s="511">
        <f t="shared" si="12"/>
        <v>0</v>
      </c>
      <c r="H146" s="524">
        <f t="shared" si="13"/>
        <v>0</v>
      </c>
      <c r="I146" s="573">
        <f t="shared" si="14"/>
        <v>0</v>
      </c>
      <c r="J146" s="505">
        <f t="shared" si="15"/>
        <v>0</v>
      </c>
      <c r="K146" s="505"/>
      <c r="L146" s="513"/>
      <c r="M146" s="505">
        <f t="shared" si="16"/>
        <v>0</v>
      </c>
      <c r="N146" s="513"/>
      <c r="O146" s="505">
        <f t="shared" si="17"/>
        <v>0</v>
      </c>
      <c r="P146" s="505">
        <f t="shared" si="18"/>
        <v>0</v>
      </c>
      <c r="Q146" s="244"/>
      <c r="R146" s="244"/>
      <c r="S146" s="244"/>
      <c r="T146" s="244"/>
      <c r="U146" s="244"/>
    </row>
    <row r="147" spans="2:21" ht="12.5">
      <c r="B147" s="145" t="str">
        <f t="shared" si="10"/>
        <v/>
      </c>
      <c r="C147" s="496">
        <f>IF(D94="","-",+C146+1)</f>
        <v>2064</v>
      </c>
      <c r="D147" s="350">
        <f>IF(F146+SUM(E$100:E146)=D$93,F146,D$93-SUM(E$100:E146))</f>
        <v>0</v>
      </c>
      <c r="E147" s="510">
        <f t="shared" si="20"/>
        <v>0</v>
      </c>
      <c r="F147" s="511">
        <f t="shared" si="11"/>
        <v>0</v>
      </c>
      <c r="G147" s="511">
        <f t="shared" si="12"/>
        <v>0</v>
      </c>
      <c r="H147" s="524">
        <f t="shared" si="13"/>
        <v>0</v>
      </c>
      <c r="I147" s="573">
        <f t="shared" si="14"/>
        <v>0</v>
      </c>
      <c r="J147" s="505">
        <f t="shared" si="15"/>
        <v>0</v>
      </c>
      <c r="K147" s="505"/>
      <c r="L147" s="513"/>
      <c r="M147" s="505">
        <f t="shared" si="16"/>
        <v>0</v>
      </c>
      <c r="N147" s="513"/>
      <c r="O147" s="505">
        <f t="shared" si="17"/>
        <v>0</v>
      </c>
      <c r="P147" s="505">
        <f t="shared" si="18"/>
        <v>0</v>
      </c>
      <c r="Q147" s="244"/>
      <c r="R147" s="244"/>
      <c r="S147" s="244"/>
      <c r="T147" s="244"/>
      <c r="U147" s="244"/>
    </row>
    <row r="148" spans="2:21" ht="12.5">
      <c r="B148" s="145" t="str">
        <f t="shared" si="10"/>
        <v/>
      </c>
      <c r="C148" s="496">
        <f>IF(D94="","-",+C147+1)</f>
        <v>2065</v>
      </c>
      <c r="D148" s="350">
        <f>IF(F147+SUM(E$100:E147)=D$93,F147,D$93-SUM(E$100:E147))</f>
        <v>0</v>
      </c>
      <c r="E148" s="510">
        <f t="shared" si="20"/>
        <v>0</v>
      </c>
      <c r="F148" s="511">
        <f t="shared" si="11"/>
        <v>0</v>
      </c>
      <c r="G148" s="511">
        <f t="shared" si="12"/>
        <v>0</v>
      </c>
      <c r="H148" s="524">
        <f t="shared" si="13"/>
        <v>0</v>
      </c>
      <c r="I148" s="573">
        <f t="shared" si="14"/>
        <v>0</v>
      </c>
      <c r="J148" s="505">
        <f t="shared" si="15"/>
        <v>0</v>
      </c>
      <c r="K148" s="505"/>
      <c r="L148" s="513"/>
      <c r="M148" s="505">
        <f t="shared" si="16"/>
        <v>0</v>
      </c>
      <c r="N148" s="513"/>
      <c r="O148" s="505">
        <f t="shared" si="17"/>
        <v>0</v>
      </c>
      <c r="P148" s="505">
        <f t="shared" si="18"/>
        <v>0</v>
      </c>
      <c r="Q148" s="244"/>
      <c r="R148" s="244"/>
      <c r="S148" s="244"/>
      <c r="T148" s="244"/>
      <c r="U148" s="244"/>
    </row>
    <row r="149" spans="2:21" ht="12.5">
      <c r="B149" s="145" t="str">
        <f t="shared" si="10"/>
        <v/>
      </c>
      <c r="C149" s="496">
        <f>IF(D94="","-",+C148+1)</f>
        <v>2066</v>
      </c>
      <c r="D149" s="350">
        <f>IF(F148+SUM(E$100:E148)=D$93,F148,D$93-SUM(E$100:E148))</f>
        <v>0</v>
      </c>
      <c r="E149" s="510">
        <f t="shared" si="20"/>
        <v>0</v>
      </c>
      <c r="F149" s="511">
        <f t="shared" si="11"/>
        <v>0</v>
      </c>
      <c r="G149" s="511">
        <f t="shared" si="12"/>
        <v>0</v>
      </c>
      <c r="H149" s="524">
        <f t="shared" si="13"/>
        <v>0</v>
      </c>
      <c r="I149" s="573">
        <f t="shared" si="14"/>
        <v>0</v>
      </c>
      <c r="J149" s="505">
        <f t="shared" si="15"/>
        <v>0</v>
      </c>
      <c r="K149" s="505"/>
      <c r="L149" s="513"/>
      <c r="M149" s="505">
        <f t="shared" si="16"/>
        <v>0</v>
      </c>
      <c r="N149" s="513"/>
      <c r="O149" s="505">
        <f t="shared" si="17"/>
        <v>0</v>
      </c>
      <c r="P149" s="505">
        <f t="shared" si="18"/>
        <v>0</v>
      </c>
      <c r="Q149" s="244"/>
      <c r="R149" s="244"/>
      <c r="S149" s="244"/>
      <c r="T149" s="244"/>
      <c r="U149" s="244"/>
    </row>
    <row r="150" spans="2:21" ht="12.5">
      <c r="B150" s="145" t="str">
        <f t="shared" si="10"/>
        <v/>
      </c>
      <c r="C150" s="496">
        <f>IF(D94="","-",+C149+1)</f>
        <v>2067</v>
      </c>
      <c r="D150" s="350">
        <f>IF(F149+SUM(E$100:E149)=D$93,F149,D$93-SUM(E$100:E149))</f>
        <v>0</v>
      </c>
      <c r="E150" s="510">
        <f t="shared" si="20"/>
        <v>0</v>
      </c>
      <c r="F150" s="511">
        <f t="shared" si="11"/>
        <v>0</v>
      </c>
      <c r="G150" s="511">
        <f t="shared" si="12"/>
        <v>0</v>
      </c>
      <c r="H150" s="524">
        <f t="shared" si="13"/>
        <v>0</v>
      </c>
      <c r="I150" s="573">
        <f t="shared" si="14"/>
        <v>0</v>
      </c>
      <c r="J150" s="505">
        <f t="shared" si="15"/>
        <v>0</v>
      </c>
      <c r="K150" s="505"/>
      <c r="L150" s="513"/>
      <c r="M150" s="505">
        <f t="shared" si="16"/>
        <v>0</v>
      </c>
      <c r="N150" s="513"/>
      <c r="O150" s="505">
        <f t="shared" si="17"/>
        <v>0</v>
      </c>
      <c r="P150" s="505">
        <f t="shared" si="18"/>
        <v>0</v>
      </c>
      <c r="Q150" s="244"/>
      <c r="R150" s="244"/>
      <c r="S150" s="244"/>
      <c r="T150" s="244"/>
      <c r="U150" s="244"/>
    </row>
    <row r="151" spans="2:21" ht="12.5">
      <c r="B151" s="145" t="str">
        <f t="shared" si="10"/>
        <v/>
      </c>
      <c r="C151" s="496">
        <f>IF(D94="","-",+C150+1)</f>
        <v>2068</v>
      </c>
      <c r="D151" s="350">
        <f>IF(F150+SUM(E$100:E150)=D$93,F150,D$93-SUM(E$100:E150))</f>
        <v>0</v>
      </c>
      <c r="E151" s="510">
        <f t="shared" si="20"/>
        <v>0</v>
      </c>
      <c r="F151" s="511">
        <f t="shared" si="11"/>
        <v>0</v>
      </c>
      <c r="G151" s="511">
        <f t="shared" si="12"/>
        <v>0</v>
      </c>
      <c r="H151" s="524">
        <f t="shared" si="13"/>
        <v>0</v>
      </c>
      <c r="I151" s="573">
        <f t="shared" si="14"/>
        <v>0</v>
      </c>
      <c r="J151" s="505">
        <f t="shared" si="15"/>
        <v>0</v>
      </c>
      <c r="K151" s="505"/>
      <c r="L151" s="513"/>
      <c r="M151" s="505">
        <f t="shared" si="16"/>
        <v>0</v>
      </c>
      <c r="N151" s="513"/>
      <c r="O151" s="505">
        <f t="shared" si="17"/>
        <v>0</v>
      </c>
      <c r="P151" s="505">
        <f t="shared" si="18"/>
        <v>0</v>
      </c>
      <c r="Q151" s="244"/>
      <c r="R151" s="244"/>
      <c r="S151" s="244"/>
      <c r="T151" s="244"/>
      <c r="U151" s="244"/>
    </row>
    <row r="152" spans="2:21" ht="12.5">
      <c r="B152" s="145" t="str">
        <f t="shared" si="10"/>
        <v/>
      </c>
      <c r="C152" s="496">
        <f>IF(D94="","-",+C151+1)</f>
        <v>2069</v>
      </c>
      <c r="D152" s="350">
        <f>IF(F151+SUM(E$100:E151)=D$93,F151,D$93-SUM(E$100:E151))</f>
        <v>0</v>
      </c>
      <c r="E152" s="510">
        <f t="shared" si="20"/>
        <v>0</v>
      </c>
      <c r="F152" s="511">
        <f t="shared" si="11"/>
        <v>0</v>
      </c>
      <c r="G152" s="511">
        <f t="shared" si="12"/>
        <v>0</v>
      </c>
      <c r="H152" s="524">
        <f t="shared" si="13"/>
        <v>0</v>
      </c>
      <c r="I152" s="573">
        <f t="shared" si="14"/>
        <v>0</v>
      </c>
      <c r="J152" s="505">
        <f t="shared" si="15"/>
        <v>0</v>
      </c>
      <c r="K152" s="505"/>
      <c r="L152" s="513"/>
      <c r="M152" s="505">
        <f t="shared" si="16"/>
        <v>0</v>
      </c>
      <c r="N152" s="513"/>
      <c r="O152" s="505">
        <f t="shared" si="17"/>
        <v>0</v>
      </c>
      <c r="P152" s="505">
        <f t="shared" si="18"/>
        <v>0</v>
      </c>
      <c r="Q152" s="244"/>
      <c r="R152" s="244"/>
      <c r="S152" s="244"/>
      <c r="T152" s="244"/>
      <c r="U152" s="244"/>
    </row>
    <row r="153" spans="2:21" ht="12.5">
      <c r="B153" s="145" t="str">
        <f t="shared" si="10"/>
        <v/>
      </c>
      <c r="C153" s="496">
        <f>IF(D94="","-",+C152+1)</f>
        <v>2070</v>
      </c>
      <c r="D153" s="350">
        <f>IF(F152+SUM(E$100:E152)=D$93,F152,D$93-SUM(E$100:E152))</f>
        <v>0</v>
      </c>
      <c r="E153" s="510">
        <f t="shared" si="20"/>
        <v>0</v>
      </c>
      <c r="F153" s="511">
        <f t="shared" si="11"/>
        <v>0</v>
      </c>
      <c r="G153" s="511">
        <f t="shared" si="12"/>
        <v>0</v>
      </c>
      <c r="H153" s="524">
        <f t="shared" si="13"/>
        <v>0</v>
      </c>
      <c r="I153" s="573">
        <f t="shared" si="14"/>
        <v>0</v>
      </c>
      <c r="J153" s="505">
        <f t="shared" si="15"/>
        <v>0</v>
      </c>
      <c r="K153" s="505"/>
      <c r="L153" s="513"/>
      <c r="M153" s="505">
        <f t="shared" si="16"/>
        <v>0</v>
      </c>
      <c r="N153" s="513"/>
      <c r="O153" s="505">
        <f t="shared" si="17"/>
        <v>0</v>
      </c>
      <c r="P153" s="505">
        <f t="shared" si="18"/>
        <v>0</v>
      </c>
      <c r="Q153" s="244"/>
      <c r="R153" s="244"/>
      <c r="S153" s="244"/>
      <c r="T153" s="244"/>
      <c r="U153" s="244"/>
    </row>
    <row r="154" spans="2:21" ht="12.5">
      <c r="B154" s="145" t="str">
        <f t="shared" si="10"/>
        <v/>
      </c>
      <c r="C154" s="496">
        <f>IF(D94="","-",+C153+1)</f>
        <v>2071</v>
      </c>
      <c r="D154" s="350">
        <f>IF(F153+SUM(E$100:E153)=D$93,F153,D$93-SUM(E$100:E153))</f>
        <v>0</v>
      </c>
      <c r="E154" s="510">
        <f t="shared" si="20"/>
        <v>0</v>
      </c>
      <c r="F154" s="511">
        <f t="shared" si="11"/>
        <v>0</v>
      </c>
      <c r="G154" s="511">
        <f t="shared" si="12"/>
        <v>0</v>
      </c>
      <c r="H154" s="524">
        <f t="shared" si="13"/>
        <v>0</v>
      </c>
      <c r="I154" s="573">
        <f t="shared" si="14"/>
        <v>0</v>
      </c>
      <c r="J154" s="505">
        <f t="shared" si="15"/>
        <v>0</v>
      </c>
      <c r="K154" s="505"/>
      <c r="L154" s="513"/>
      <c r="M154" s="505">
        <f t="shared" si="16"/>
        <v>0</v>
      </c>
      <c r="N154" s="513"/>
      <c r="O154" s="505">
        <f t="shared" si="17"/>
        <v>0</v>
      </c>
      <c r="P154" s="505">
        <f t="shared" si="18"/>
        <v>0</v>
      </c>
      <c r="Q154" s="244"/>
      <c r="R154" s="244"/>
      <c r="S154" s="244"/>
      <c r="T154" s="244"/>
      <c r="U154" s="244"/>
    </row>
    <row r="155" spans="2:21" ht="13" thickBot="1">
      <c r="B155" s="145" t="str">
        <f t="shared" si="10"/>
        <v/>
      </c>
      <c r="C155" s="525">
        <f>IF(D94="","-",+C154+1)</f>
        <v>2072</v>
      </c>
      <c r="D155" s="528">
        <f>IF(F154+SUM(E$100:E154)=D$93,F154,D$93-SUM(E$100:E154))</f>
        <v>0</v>
      </c>
      <c r="E155" s="527">
        <f t="shared" si="20"/>
        <v>0</v>
      </c>
      <c r="F155" s="528">
        <f t="shared" si="11"/>
        <v>0</v>
      </c>
      <c r="G155" s="528">
        <f t="shared" si="12"/>
        <v>0</v>
      </c>
      <c r="H155" s="529">
        <f t="shared" si="13"/>
        <v>0</v>
      </c>
      <c r="I155" s="574">
        <f t="shared" si="14"/>
        <v>0</v>
      </c>
      <c r="J155" s="532">
        <f t="shared" si="15"/>
        <v>0</v>
      </c>
      <c r="K155" s="505"/>
      <c r="L155" s="531"/>
      <c r="M155" s="532">
        <f t="shared" si="16"/>
        <v>0</v>
      </c>
      <c r="N155" s="531"/>
      <c r="O155" s="532">
        <f t="shared" si="17"/>
        <v>0</v>
      </c>
      <c r="P155" s="532">
        <f t="shared" si="18"/>
        <v>0</v>
      </c>
      <c r="Q155" s="244"/>
      <c r="R155" s="244"/>
      <c r="S155" s="244"/>
      <c r="T155" s="244"/>
      <c r="U155" s="244"/>
    </row>
    <row r="156" spans="2:21" ht="12.5">
      <c r="C156" s="350" t="s">
        <v>75</v>
      </c>
      <c r="D156" s="295"/>
      <c r="E156" s="295">
        <f>SUM(E100:E155)</f>
        <v>11056565</v>
      </c>
      <c r="F156" s="295"/>
      <c r="G156" s="295"/>
      <c r="H156" s="295">
        <f>SUM(H100:H155)</f>
        <v>30986075.906263188</v>
      </c>
      <c r="I156" s="295">
        <f>SUM(I100:I155)</f>
        <v>30986075.906263188</v>
      </c>
      <c r="J156" s="295">
        <f>SUM(J100:J155)</f>
        <v>0</v>
      </c>
      <c r="K156" s="295"/>
      <c r="L156" s="295"/>
      <c r="M156" s="295"/>
      <c r="N156" s="295"/>
      <c r="O156" s="295"/>
      <c r="P156" s="244"/>
      <c r="Q156" s="244"/>
      <c r="R156" s="244"/>
      <c r="S156" s="244"/>
      <c r="T156" s="244"/>
      <c r="U156" s="244"/>
    </row>
    <row r="157" spans="2:21" ht="12.5">
      <c r="D157" s="293"/>
      <c r="E157" s="244"/>
      <c r="F157" s="244"/>
      <c r="G157" s="244"/>
      <c r="H157" s="244"/>
      <c r="I157" s="326"/>
      <c r="J157" s="326"/>
      <c r="K157" s="295"/>
      <c r="L157" s="326"/>
      <c r="M157" s="326"/>
      <c r="N157" s="326"/>
      <c r="O157" s="326"/>
      <c r="P157" s="244"/>
      <c r="Q157" s="244"/>
      <c r="R157" s="244"/>
      <c r="S157" s="244"/>
      <c r="T157" s="244"/>
      <c r="U157" s="244"/>
    </row>
    <row r="158" spans="2:21" ht="12.5">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ht="12.5">
      <c r="D159" s="293"/>
      <c r="E159" s="244"/>
      <c r="F159" s="244"/>
      <c r="G159" s="244"/>
      <c r="H159" s="244"/>
      <c r="I159" s="326"/>
      <c r="J159" s="326"/>
      <c r="K159" s="295"/>
      <c r="L159" s="326"/>
      <c r="M159" s="326"/>
      <c r="N159" s="326"/>
      <c r="O159" s="326"/>
      <c r="P159" s="244"/>
      <c r="Q159" s="244"/>
      <c r="R159" s="244"/>
      <c r="S159" s="244"/>
      <c r="T159" s="244"/>
      <c r="U159" s="244"/>
    </row>
    <row r="160" spans="2:21" ht="13">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ht="13">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31 C34:C40 C44:C73">
    <cfRule type="cellIs" dxfId="19" priority="4" stopIfTrue="1" operator="equal">
      <formula>$I$10</formula>
    </cfRule>
  </conditionalFormatting>
  <conditionalFormatting sqref="C100:C155">
    <cfRule type="cellIs" dxfId="18" priority="5" stopIfTrue="1" operator="equal">
      <formula>$J$93</formula>
    </cfRule>
  </conditionalFormatting>
  <conditionalFormatting sqref="C32">
    <cfRule type="cellIs" dxfId="17" priority="3" stopIfTrue="1" operator="equal">
      <formula>$I$10</formula>
    </cfRule>
  </conditionalFormatting>
  <conditionalFormatting sqref="C33">
    <cfRule type="cellIs" dxfId="16" priority="2" stopIfTrue="1" operator="equal">
      <formula>$I$10</formula>
    </cfRule>
  </conditionalFormatting>
  <conditionalFormatting sqref="C41:C43">
    <cfRule type="cellIs" dxfId="15" priority="1" stopIfTrue="1" operator="equal">
      <formula>$I$10</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P163"/>
  <sheetViews>
    <sheetView zoomScale="85" zoomScaleNormal="85" workbookViewId="0">
      <selection activeCell="D10" sqref="D10"/>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9.1796875" style="145" customWidth="1"/>
    <col min="18" max="22" width="8.7265625" style="145"/>
    <col min="23" max="23" width="9.1796875" style="145" customWidth="1"/>
    <col min="24" max="16384" width="8.7265625" style="145"/>
  </cols>
  <sheetData>
    <row r="1" spans="1:16" ht="20">
      <c r="A1" s="438" t="s">
        <v>189</v>
      </c>
      <c r="B1" s="244"/>
      <c r="C1" s="249"/>
      <c r="D1" s="293"/>
      <c r="E1" s="244"/>
      <c r="F1" s="340"/>
      <c r="G1" s="244"/>
      <c r="H1" s="326"/>
      <c r="J1" s="221"/>
      <c r="K1" s="439"/>
      <c r="L1" s="439"/>
      <c r="M1" s="439"/>
      <c r="P1" s="440" t="str">
        <f ca="1">"OKT Project "&amp;RIGHT(MID(CELL("filename",$A$1),FIND("]",CELL("filename",$A$1))+1,256),2)&amp;" of "&amp;COUNT('OKT.001:OKT.xyz - blank'!$P$3)-1</f>
        <v>OKT Project 16 of 19</v>
      </c>
    </row>
    <row r="2" spans="1:16" ht="17.5">
      <c r="B2" s="244"/>
      <c r="C2" s="244"/>
      <c r="D2" s="293"/>
      <c r="E2" s="244"/>
      <c r="F2" s="244"/>
      <c r="G2" s="244"/>
      <c r="H2" s="326"/>
      <c r="I2" s="244"/>
      <c r="J2" s="279"/>
      <c r="K2" s="244"/>
      <c r="L2" s="244"/>
      <c r="M2" s="244"/>
      <c r="N2" s="244"/>
      <c r="P2" s="442" t="s">
        <v>131</v>
      </c>
    </row>
    <row r="3" spans="1:16" ht="18">
      <c r="B3" s="234" t="s">
        <v>42</v>
      </c>
      <c r="C3" s="306" t="s">
        <v>43</v>
      </c>
      <c r="D3" s="293"/>
      <c r="E3" s="244"/>
      <c r="F3" s="244"/>
      <c r="G3" s="244"/>
      <c r="H3" s="326"/>
      <c r="I3" s="326"/>
      <c r="J3" s="295"/>
      <c r="K3" s="326"/>
      <c r="L3" s="326"/>
      <c r="M3" s="326"/>
      <c r="N3" s="326"/>
      <c r="O3" s="244"/>
      <c r="P3" s="578">
        <v>1</v>
      </c>
    </row>
    <row r="4" spans="1:16" ht="16" thickBot="1">
      <c r="C4" s="305"/>
      <c r="D4" s="293"/>
      <c r="E4" s="244"/>
      <c r="F4" s="244"/>
      <c r="G4" s="244"/>
      <c r="H4" s="326"/>
      <c r="I4" s="326"/>
      <c r="J4" s="295"/>
      <c r="K4" s="326"/>
      <c r="L4" s="326"/>
      <c r="M4" s="326"/>
      <c r="N4" s="326"/>
      <c r="O4" s="244"/>
      <c r="P4" s="244"/>
    </row>
    <row r="5" spans="1:16" ht="15.5">
      <c r="C5" s="444" t="s">
        <v>44</v>
      </c>
      <c r="D5" s="293"/>
      <c r="E5" s="244"/>
      <c r="F5" s="244"/>
      <c r="G5" s="445"/>
      <c r="H5" s="244" t="s">
        <v>45</v>
      </c>
      <c r="I5" s="244"/>
      <c r="J5" s="279"/>
      <c r="K5" s="446" t="s">
        <v>242</v>
      </c>
      <c r="L5" s="447"/>
      <c r="M5" s="448"/>
      <c r="N5" s="449">
        <f>VLOOKUP(I10,C17:I73,5)</f>
        <v>1144883.2286713799</v>
      </c>
      <c r="P5" s="244"/>
    </row>
    <row r="6" spans="1:16" ht="15.5">
      <c r="C6" s="236"/>
      <c r="D6" s="293"/>
      <c r="E6" s="244"/>
      <c r="F6" s="244"/>
      <c r="G6" s="244"/>
      <c r="H6" s="450"/>
      <c r="I6" s="450"/>
      <c r="J6" s="451"/>
      <c r="K6" s="452" t="s">
        <v>243</v>
      </c>
      <c r="L6" s="453"/>
      <c r="M6" s="279"/>
      <c r="N6" s="454">
        <f>VLOOKUP(I10,C17:I73,6)</f>
        <v>1144883.2286713799</v>
      </c>
      <c r="O6" s="244"/>
      <c r="P6" s="244"/>
    </row>
    <row r="7" spans="1:16" ht="13.5" thickBot="1">
      <c r="C7" s="455" t="s">
        <v>46</v>
      </c>
      <c r="D7" s="638" t="s">
        <v>246</v>
      </c>
      <c r="E7" s="244"/>
      <c r="F7" s="244"/>
      <c r="G7" s="244"/>
      <c r="H7" s="326"/>
      <c r="I7" s="326"/>
      <c r="J7" s="295"/>
      <c r="K7" s="457" t="s">
        <v>47</v>
      </c>
      <c r="L7" s="458"/>
      <c r="M7" s="458"/>
      <c r="N7" s="459">
        <f>+N6-N5</f>
        <v>0</v>
      </c>
      <c r="O7" s="244"/>
      <c r="P7" s="244"/>
    </row>
    <row r="8" spans="1:16" ht="13.5" thickBot="1">
      <c r="C8" s="460"/>
      <c r="D8" s="461" t="str">
        <f>IF(D10&lt;100000,"DOES NOT MEET SPP $100,000 MINIMUM INVESTMENT FOR REGIONAL BPU SHARING.","")</f>
        <v/>
      </c>
      <c r="E8" s="462"/>
      <c r="F8" s="462"/>
      <c r="G8" s="462"/>
      <c r="H8" s="462"/>
      <c r="I8" s="462"/>
      <c r="J8" s="463"/>
      <c r="K8" s="462"/>
      <c r="L8" s="462"/>
      <c r="M8" s="462"/>
      <c r="N8" s="462"/>
      <c r="O8" s="463"/>
      <c r="P8" s="249"/>
    </row>
    <row r="9" spans="1:16" ht="13.5" thickBot="1">
      <c r="C9" s="464" t="s">
        <v>48</v>
      </c>
      <c r="D9" s="465" t="s">
        <v>262</v>
      </c>
      <c r="E9" s="466"/>
      <c r="F9" s="466"/>
      <c r="G9" s="466"/>
      <c r="H9" s="466"/>
      <c r="I9" s="467"/>
      <c r="J9" s="468"/>
      <c r="O9" s="469"/>
      <c r="P9" s="279"/>
    </row>
    <row r="10" spans="1:16" ht="13">
      <c r="C10" s="470" t="s">
        <v>49</v>
      </c>
      <c r="D10" s="471">
        <v>9657270</v>
      </c>
      <c r="E10" s="300" t="s">
        <v>50</v>
      </c>
      <c r="F10" s="469"/>
      <c r="G10" s="409"/>
      <c r="H10" s="409"/>
      <c r="I10" s="472">
        <f>+OKT.WS.F.BPU.ATRR.Projected!R100</f>
        <v>2019</v>
      </c>
      <c r="J10" s="468"/>
      <c r="K10" s="295" t="s">
        <v>51</v>
      </c>
      <c r="O10" s="279"/>
      <c r="P10" s="279"/>
    </row>
    <row r="11" spans="1:16" ht="12.5">
      <c r="C11" s="473" t="s">
        <v>52</v>
      </c>
      <c r="D11" s="474">
        <v>2017</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row>
    <row r="12" spans="1:16" ht="12.5">
      <c r="C12" s="473" t="s">
        <v>54</v>
      </c>
      <c r="D12" s="471">
        <v>7</v>
      </c>
      <c r="E12" s="473" t="s">
        <v>55</v>
      </c>
      <c r="F12" s="409"/>
      <c r="G12" s="221"/>
      <c r="H12" s="221"/>
      <c r="I12" s="477">
        <f>OKT.WS.F.BPU.ATRR.Projected!$F$78</f>
        <v>0.11749102697326873</v>
      </c>
      <c r="J12" s="414"/>
      <c r="K12" s="145" t="s">
        <v>56</v>
      </c>
      <c r="O12" s="279"/>
      <c r="P12" s="279"/>
    </row>
    <row r="13" spans="1:16" ht="12.5">
      <c r="C13" s="473" t="s">
        <v>57</v>
      </c>
      <c r="D13" s="475">
        <f>+OKT.WS.F.BPU.ATRR.Projected!F$89</f>
        <v>41</v>
      </c>
      <c r="E13" s="473" t="s">
        <v>58</v>
      </c>
      <c r="F13" s="409"/>
      <c r="G13" s="221"/>
      <c r="H13" s="221"/>
      <c r="I13" s="477">
        <f>IF(G5="",I12,OKT.WS.F.BPU.ATRR.Projected!$F$77)</f>
        <v>0.11749102697326873</v>
      </c>
      <c r="J13" s="414"/>
      <c r="K13" s="295" t="s">
        <v>59</v>
      </c>
      <c r="L13" s="292"/>
      <c r="M13" s="292"/>
      <c r="N13" s="292"/>
      <c r="O13" s="279"/>
      <c r="P13" s="279"/>
    </row>
    <row r="14" spans="1:16" ht="13" thickBot="1">
      <c r="C14" s="473" t="s">
        <v>60</v>
      </c>
      <c r="D14" s="474" t="s">
        <v>61</v>
      </c>
      <c r="E14" s="279" t="s">
        <v>62</v>
      </c>
      <c r="F14" s="409"/>
      <c r="G14" s="221"/>
      <c r="H14" s="221"/>
      <c r="I14" s="478">
        <f>IF(D10=0,0,D10/D13)</f>
        <v>235543.17073170733</v>
      </c>
      <c r="J14" s="295"/>
      <c r="K14" s="295"/>
      <c r="L14" s="295"/>
      <c r="M14" s="295"/>
      <c r="N14" s="295"/>
      <c r="O14" s="279"/>
      <c r="P14" s="279"/>
    </row>
    <row r="15" spans="1:16"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row>
    <row r="16" spans="1:16"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row>
    <row r="17" spans="2:16" ht="12.5">
      <c r="B17" s="145" t="str">
        <f t="shared" ref="B17:B71" si="0">IF(D17=F16,"","IU")</f>
        <v>IU</v>
      </c>
      <c r="C17" s="496">
        <f>IF(D11= "","-",D11)</f>
        <v>2017</v>
      </c>
      <c r="D17" s="613">
        <v>0</v>
      </c>
      <c r="E17" s="621">
        <v>72904.982539658653</v>
      </c>
      <c r="F17" s="613">
        <v>8826095.0174603406</v>
      </c>
      <c r="G17" s="621">
        <v>558075.303653282</v>
      </c>
      <c r="H17" s="618">
        <v>558075.303653282</v>
      </c>
      <c r="I17" s="501">
        <f>H17-G17</f>
        <v>0</v>
      </c>
      <c r="J17" s="501"/>
      <c r="K17" s="502">
        <f>+G17</f>
        <v>558075.303653282</v>
      </c>
      <c r="L17" s="504">
        <f t="shared" ref="L17:L71" si="1">IF(K17&lt;&gt;0,+G17-K17,0)</f>
        <v>0</v>
      </c>
      <c r="M17" s="502">
        <f>+H17</f>
        <v>558075.303653282</v>
      </c>
      <c r="N17" s="504">
        <f t="shared" ref="N17:N71" si="2">IF(M17&lt;&gt;0,+H17-M17,0)</f>
        <v>0</v>
      </c>
      <c r="O17" s="505">
        <f t="shared" ref="O17:O71" si="3">+N17-L17</f>
        <v>0</v>
      </c>
      <c r="P17" s="279"/>
    </row>
    <row r="18" spans="2:16" ht="12.5">
      <c r="B18" s="145" t="str">
        <f t="shared" si="0"/>
        <v/>
      </c>
      <c r="C18" s="496">
        <f>IF(D11="","-",+C17+1)</f>
        <v>2018</v>
      </c>
      <c r="D18" s="615">
        <v>8826095.0174603406</v>
      </c>
      <c r="E18" s="614">
        <v>218244.25465113699</v>
      </c>
      <c r="F18" s="615">
        <v>8607850.7628092039</v>
      </c>
      <c r="G18" s="614">
        <v>1104094.8534187796</v>
      </c>
      <c r="H18" s="618">
        <v>1104094.8534187796</v>
      </c>
      <c r="I18" s="501">
        <f t="shared" ref="I18:I71" si="4">H18-G18</f>
        <v>0</v>
      </c>
      <c r="J18" s="501"/>
      <c r="K18" s="593">
        <f>+G18</f>
        <v>1104094.8534187796</v>
      </c>
      <c r="L18" s="597">
        <f t="shared" si="1"/>
        <v>0</v>
      </c>
      <c r="M18" s="593">
        <f>+H18</f>
        <v>1104094.8534187796</v>
      </c>
      <c r="N18" s="505">
        <f t="shared" si="2"/>
        <v>0</v>
      </c>
      <c r="O18" s="505">
        <f t="shared" si="3"/>
        <v>0</v>
      </c>
      <c r="P18" s="279"/>
    </row>
    <row r="19" spans="2:16" ht="12.5">
      <c r="B19" s="145" t="str">
        <f t="shared" si="0"/>
        <v/>
      </c>
      <c r="C19" s="496">
        <f>IF(D11="","-",+C18+1)</f>
        <v>2019</v>
      </c>
      <c r="D19" s="615">
        <v>8607850.7628092039</v>
      </c>
      <c r="E19" s="614">
        <v>263934.0787603631</v>
      </c>
      <c r="F19" s="615">
        <v>8343916.6840488408</v>
      </c>
      <c r="G19" s="614">
        <v>1144883.2286713799</v>
      </c>
      <c r="H19" s="618">
        <v>1144883.2286713799</v>
      </c>
      <c r="I19" s="501">
        <f t="shared" si="4"/>
        <v>0</v>
      </c>
      <c r="J19" s="501"/>
      <c r="K19" s="593">
        <f>+G19</f>
        <v>1144883.2286713799</v>
      </c>
      <c r="L19" s="597">
        <f t="shared" ref="L19" si="5">IF(K19&lt;&gt;0,+G19-K19,0)</f>
        <v>0</v>
      </c>
      <c r="M19" s="593">
        <f>+H19</f>
        <v>1144883.2286713799</v>
      </c>
      <c r="N19" s="505">
        <f t="shared" ref="N19" si="6">IF(M19&lt;&gt;0,+H19-M19,0)</f>
        <v>0</v>
      </c>
      <c r="O19" s="505">
        <f t="shared" ref="O19" si="7">+N19-L19</f>
        <v>0</v>
      </c>
      <c r="P19" s="279"/>
    </row>
    <row r="20" spans="2:16" ht="12.5">
      <c r="B20" s="145" t="str">
        <f t="shared" si="0"/>
        <v>IU</v>
      </c>
      <c r="C20" s="496">
        <f>IF(D11="","-",+C19+1)</f>
        <v>2020</v>
      </c>
      <c r="D20" s="509">
        <f>IF(F19+SUM(E$17:E19)=D$10,F19,D$10-SUM(E$17:E19))</f>
        <v>9102186.6840488408</v>
      </c>
      <c r="E20" s="510">
        <f t="shared" ref="E20:E49" si="8">IF(+I$14&lt;F19,I$14,D20)</f>
        <v>235543.17073170733</v>
      </c>
      <c r="F20" s="511">
        <f t="shared" ref="F20:F71" si="9">+D20-E20</f>
        <v>8866643.5133171342</v>
      </c>
      <c r="G20" s="512">
        <f t="shared" ref="G20:G48" si="10">(D20+F20)/2*I$12+E20</f>
        <v>1291131.327430113</v>
      </c>
      <c r="H20" s="478">
        <f t="shared" ref="H20:H48" si="11">+(D20+F20)/2*I$13+E20</f>
        <v>1291131.327430113</v>
      </c>
      <c r="I20" s="501">
        <f t="shared" si="4"/>
        <v>0</v>
      </c>
      <c r="J20" s="501"/>
      <c r="K20" s="513"/>
      <c r="L20" s="505">
        <f t="shared" si="1"/>
        <v>0</v>
      </c>
      <c r="M20" s="513"/>
      <c r="N20" s="505">
        <f t="shared" si="2"/>
        <v>0</v>
      </c>
      <c r="O20" s="505">
        <f t="shared" si="3"/>
        <v>0</v>
      </c>
      <c r="P20" s="279"/>
    </row>
    <row r="21" spans="2:16" ht="12.5">
      <c r="B21" s="145" t="str">
        <f t="shared" si="0"/>
        <v/>
      </c>
      <c r="C21" s="496">
        <f>IF(D11="","-",+C20+1)</f>
        <v>2021</v>
      </c>
      <c r="D21" s="509">
        <f>IF(F20+SUM(E$17:E20)=D$10,F20,D$10-SUM(E$17:E20))</f>
        <v>8866643.5133171342</v>
      </c>
      <c r="E21" s="510">
        <f t="shared" si="8"/>
        <v>235543.17073170733</v>
      </c>
      <c r="F21" s="511">
        <f t="shared" si="9"/>
        <v>8631100.3425854277</v>
      </c>
      <c r="G21" s="512">
        <f t="shared" si="10"/>
        <v>1263457.1184043046</v>
      </c>
      <c r="H21" s="478">
        <f t="shared" si="11"/>
        <v>1263457.1184043046</v>
      </c>
      <c r="I21" s="501">
        <f t="shared" si="4"/>
        <v>0</v>
      </c>
      <c r="J21" s="501"/>
      <c r="K21" s="513"/>
      <c r="L21" s="505">
        <f t="shared" si="1"/>
        <v>0</v>
      </c>
      <c r="M21" s="513"/>
      <c r="N21" s="505">
        <f t="shared" si="2"/>
        <v>0</v>
      </c>
      <c r="O21" s="505">
        <f t="shared" si="3"/>
        <v>0</v>
      </c>
      <c r="P21" s="279"/>
    </row>
    <row r="22" spans="2:16" ht="12.5">
      <c r="B22" s="145" t="str">
        <f t="shared" si="0"/>
        <v/>
      </c>
      <c r="C22" s="496">
        <f>IF(D11="","-",+C21+1)</f>
        <v>2022</v>
      </c>
      <c r="D22" s="509">
        <f>IF(F21+SUM(E$17:E21)=D$10,F21,D$10-SUM(E$17:E21))</f>
        <v>8631100.3425854277</v>
      </c>
      <c r="E22" s="510">
        <f t="shared" si="8"/>
        <v>235543.17073170733</v>
      </c>
      <c r="F22" s="511">
        <f t="shared" si="9"/>
        <v>8395557.1718537211</v>
      </c>
      <c r="G22" s="512">
        <f t="shared" si="10"/>
        <v>1235782.9093784967</v>
      </c>
      <c r="H22" s="478">
        <f t="shared" si="11"/>
        <v>1235782.9093784967</v>
      </c>
      <c r="I22" s="501">
        <f t="shared" si="4"/>
        <v>0</v>
      </c>
      <c r="J22" s="501"/>
      <c r="K22" s="513"/>
      <c r="L22" s="505">
        <f t="shared" si="1"/>
        <v>0</v>
      </c>
      <c r="M22" s="513"/>
      <c r="N22" s="505">
        <f t="shared" si="2"/>
        <v>0</v>
      </c>
      <c r="O22" s="505">
        <f t="shared" si="3"/>
        <v>0</v>
      </c>
      <c r="P22" s="279"/>
    </row>
    <row r="23" spans="2:16" ht="12.5">
      <c r="B23" s="145" t="str">
        <f t="shared" si="0"/>
        <v/>
      </c>
      <c r="C23" s="496">
        <f>IF(D11="","-",+C22+1)</f>
        <v>2023</v>
      </c>
      <c r="D23" s="509">
        <f>IF(F22+SUM(E$17:E22)=D$10,F22,D$10-SUM(E$17:E22))</f>
        <v>8395557.1718537211</v>
      </c>
      <c r="E23" s="510">
        <f t="shared" si="8"/>
        <v>235543.17073170733</v>
      </c>
      <c r="F23" s="511">
        <f t="shared" si="9"/>
        <v>8160014.0011220137</v>
      </c>
      <c r="G23" s="512">
        <f t="shared" si="10"/>
        <v>1208108.7003526883</v>
      </c>
      <c r="H23" s="478">
        <f t="shared" si="11"/>
        <v>1208108.7003526883</v>
      </c>
      <c r="I23" s="501">
        <f t="shared" si="4"/>
        <v>0</v>
      </c>
      <c r="J23" s="501"/>
      <c r="K23" s="513"/>
      <c r="L23" s="505">
        <f t="shared" si="1"/>
        <v>0</v>
      </c>
      <c r="M23" s="513"/>
      <c r="N23" s="505">
        <f t="shared" si="2"/>
        <v>0</v>
      </c>
      <c r="O23" s="505">
        <f t="shared" si="3"/>
        <v>0</v>
      </c>
      <c r="P23" s="279"/>
    </row>
    <row r="24" spans="2:16" ht="12.5">
      <c r="B24" s="145" t="str">
        <f t="shared" si="0"/>
        <v/>
      </c>
      <c r="C24" s="496">
        <f>IF(D11="","-",+C23+1)</f>
        <v>2024</v>
      </c>
      <c r="D24" s="509">
        <f>IF(F23+SUM(E$17:E23)=D$10,F23,D$10-SUM(E$17:E23))</f>
        <v>8160014.0011220137</v>
      </c>
      <c r="E24" s="510">
        <f t="shared" si="8"/>
        <v>235543.17073170733</v>
      </c>
      <c r="F24" s="511">
        <f t="shared" si="9"/>
        <v>7924470.8303903062</v>
      </c>
      <c r="G24" s="512">
        <f t="shared" si="10"/>
        <v>1180434.4913268802</v>
      </c>
      <c r="H24" s="478">
        <f t="shared" si="11"/>
        <v>1180434.4913268802</v>
      </c>
      <c r="I24" s="501">
        <f t="shared" si="4"/>
        <v>0</v>
      </c>
      <c r="J24" s="501"/>
      <c r="K24" s="513"/>
      <c r="L24" s="505">
        <f t="shared" si="1"/>
        <v>0</v>
      </c>
      <c r="M24" s="513"/>
      <c r="N24" s="505">
        <f t="shared" si="2"/>
        <v>0</v>
      </c>
      <c r="O24" s="505">
        <f t="shared" si="3"/>
        <v>0</v>
      </c>
      <c r="P24" s="279"/>
    </row>
    <row r="25" spans="2:16" ht="12.5">
      <c r="B25" s="145" t="str">
        <f t="shared" si="0"/>
        <v/>
      </c>
      <c r="C25" s="496">
        <f>IF(D11="","-",+C24+1)</f>
        <v>2025</v>
      </c>
      <c r="D25" s="509">
        <f>IF(F24+SUM(E$17:E24)=D$10,F24,D$10-SUM(E$17:E24))</f>
        <v>7924470.8303903062</v>
      </c>
      <c r="E25" s="510">
        <f t="shared" si="8"/>
        <v>235543.17073170733</v>
      </c>
      <c r="F25" s="511">
        <f t="shared" si="9"/>
        <v>7688927.6596585987</v>
      </c>
      <c r="G25" s="512">
        <f t="shared" si="10"/>
        <v>1152760.2823010718</v>
      </c>
      <c r="H25" s="478">
        <f t="shared" si="11"/>
        <v>1152760.2823010718</v>
      </c>
      <c r="I25" s="501">
        <f t="shared" si="4"/>
        <v>0</v>
      </c>
      <c r="J25" s="501"/>
      <c r="K25" s="513"/>
      <c r="L25" s="505">
        <f t="shared" si="1"/>
        <v>0</v>
      </c>
      <c r="M25" s="513"/>
      <c r="N25" s="505">
        <f t="shared" si="2"/>
        <v>0</v>
      </c>
      <c r="O25" s="505">
        <f t="shared" si="3"/>
        <v>0</v>
      </c>
      <c r="P25" s="279"/>
    </row>
    <row r="26" spans="2:16" ht="12.5">
      <c r="B26" s="145" t="str">
        <f t="shared" si="0"/>
        <v/>
      </c>
      <c r="C26" s="496">
        <f>IF(D11="","-",+C25+1)</f>
        <v>2026</v>
      </c>
      <c r="D26" s="509">
        <f>IF(F25+SUM(E$17:E25)=D$10,F25,D$10-SUM(E$17:E25))</f>
        <v>7688927.6596585987</v>
      </c>
      <c r="E26" s="510">
        <f t="shared" si="8"/>
        <v>235543.17073170733</v>
      </c>
      <c r="F26" s="511">
        <f t="shared" si="9"/>
        <v>7453384.4889268912</v>
      </c>
      <c r="G26" s="512">
        <f t="shared" si="10"/>
        <v>1125086.0732752637</v>
      </c>
      <c r="H26" s="478">
        <f t="shared" si="11"/>
        <v>1125086.0732752637</v>
      </c>
      <c r="I26" s="501">
        <f t="shared" si="4"/>
        <v>0</v>
      </c>
      <c r="J26" s="501"/>
      <c r="K26" s="513"/>
      <c r="L26" s="505">
        <f t="shared" si="1"/>
        <v>0</v>
      </c>
      <c r="M26" s="513"/>
      <c r="N26" s="505">
        <f t="shared" si="2"/>
        <v>0</v>
      </c>
      <c r="O26" s="505">
        <f t="shared" si="3"/>
        <v>0</v>
      </c>
      <c r="P26" s="279"/>
    </row>
    <row r="27" spans="2:16" ht="12.5">
      <c r="B27" s="145" t="str">
        <f t="shared" si="0"/>
        <v/>
      </c>
      <c r="C27" s="496">
        <f>IF(D11="","-",+C26+1)</f>
        <v>2027</v>
      </c>
      <c r="D27" s="509">
        <f>IF(F26+SUM(E$17:E26)=D$10,F26,D$10-SUM(E$17:E26))</f>
        <v>7453384.4889268912</v>
      </c>
      <c r="E27" s="510">
        <f t="shared" si="8"/>
        <v>235543.17073170733</v>
      </c>
      <c r="F27" s="511">
        <f t="shared" si="9"/>
        <v>7217841.3181951838</v>
      </c>
      <c r="G27" s="512">
        <f t="shared" si="10"/>
        <v>1097411.8642494553</v>
      </c>
      <c r="H27" s="478">
        <f t="shared" si="11"/>
        <v>1097411.8642494553</v>
      </c>
      <c r="I27" s="501">
        <f t="shared" si="4"/>
        <v>0</v>
      </c>
      <c r="J27" s="501"/>
      <c r="K27" s="513"/>
      <c r="L27" s="505">
        <f t="shared" si="1"/>
        <v>0</v>
      </c>
      <c r="M27" s="513"/>
      <c r="N27" s="505">
        <f t="shared" si="2"/>
        <v>0</v>
      </c>
      <c r="O27" s="505">
        <f t="shared" si="3"/>
        <v>0</v>
      </c>
      <c r="P27" s="279"/>
    </row>
    <row r="28" spans="2:16" ht="12.5">
      <c r="B28" s="145" t="str">
        <f t="shared" si="0"/>
        <v/>
      </c>
      <c r="C28" s="496">
        <f>IF(D11="","-",+C27+1)</f>
        <v>2028</v>
      </c>
      <c r="D28" s="509">
        <f>IF(F27+SUM(E$17:E27)=D$10,F27,D$10-SUM(E$17:E27))</f>
        <v>7217841.3181951838</v>
      </c>
      <c r="E28" s="510">
        <f t="shared" si="8"/>
        <v>235543.17073170733</v>
      </c>
      <c r="F28" s="511">
        <f t="shared" si="9"/>
        <v>6982298.1474634763</v>
      </c>
      <c r="G28" s="512">
        <f t="shared" si="10"/>
        <v>1069737.6552236471</v>
      </c>
      <c r="H28" s="478">
        <f t="shared" si="11"/>
        <v>1069737.6552236471</v>
      </c>
      <c r="I28" s="501">
        <f t="shared" si="4"/>
        <v>0</v>
      </c>
      <c r="J28" s="501"/>
      <c r="K28" s="513"/>
      <c r="L28" s="505">
        <f t="shared" si="1"/>
        <v>0</v>
      </c>
      <c r="M28" s="513"/>
      <c r="N28" s="505">
        <f t="shared" si="2"/>
        <v>0</v>
      </c>
      <c r="O28" s="505">
        <f t="shared" si="3"/>
        <v>0</v>
      </c>
      <c r="P28" s="279"/>
    </row>
    <row r="29" spans="2:16" ht="12.5">
      <c r="B29" s="145" t="str">
        <f t="shared" si="0"/>
        <v/>
      </c>
      <c r="C29" s="496">
        <f>IF(D11="","-",+C28+1)</f>
        <v>2029</v>
      </c>
      <c r="D29" s="509">
        <f>IF(F28+SUM(E$17:E28)=D$10,F28,D$10-SUM(E$17:E28))</f>
        <v>6982298.1474634763</v>
      </c>
      <c r="E29" s="510">
        <f t="shared" si="8"/>
        <v>235543.17073170733</v>
      </c>
      <c r="F29" s="511">
        <f t="shared" si="9"/>
        <v>6746754.9767317688</v>
      </c>
      <c r="G29" s="512">
        <f t="shared" si="10"/>
        <v>1042063.4461978388</v>
      </c>
      <c r="H29" s="478">
        <f t="shared" si="11"/>
        <v>1042063.4461978388</v>
      </c>
      <c r="I29" s="501">
        <f t="shared" si="4"/>
        <v>0</v>
      </c>
      <c r="J29" s="501"/>
      <c r="K29" s="513"/>
      <c r="L29" s="505">
        <f t="shared" si="1"/>
        <v>0</v>
      </c>
      <c r="M29" s="513"/>
      <c r="N29" s="505">
        <f t="shared" si="2"/>
        <v>0</v>
      </c>
      <c r="O29" s="505">
        <f t="shared" si="3"/>
        <v>0</v>
      </c>
      <c r="P29" s="279"/>
    </row>
    <row r="30" spans="2:16" ht="12.5">
      <c r="B30" s="145" t="str">
        <f t="shared" si="0"/>
        <v/>
      </c>
      <c r="C30" s="496">
        <f>IF(D11="","-",+C29+1)</f>
        <v>2030</v>
      </c>
      <c r="D30" s="509">
        <f>IF(F29+SUM(E$17:E29)=D$10,F29,D$10-SUM(E$17:E29))</f>
        <v>6746754.9767317688</v>
      </c>
      <c r="E30" s="510">
        <f t="shared" si="8"/>
        <v>235543.17073170733</v>
      </c>
      <c r="F30" s="511">
        <f t="shared" si="9"/>
        <v>6511211.8060000613</v>
      </c>
      <c r="G30" s="512">
        <f t="shared" si="10"/>
        <v>1014389.2371720305</v>
      </c>
      <c r="H30" s="478">
        <f t="shared" si="11"/>
        <v>1014389.2371720305</v>
      </c>
      <c r="I30" s="501">
        <f t="shared" si="4"/>
        <v>0</v>
      </c>
      <c r="J30" s="501"/>
      <c r="K30" s="513"/>
      <c r="L30" s="505">
        <f t="shared" si="1"/>
        <v>0</v>
      </c>
      <c r="M30" s="513"/>
      <c r="N30" s="505">
        <f t="shared" si="2"/>
        <v>0</v>
      </c>
      <c r="O30" s="505">
        <f t="shared" si="3"/>
        <v>0</v>
      </c>
      <c r="P30" s="279"/>
    </row>
    <row r="31" spans="2:16" ht="12.5">
      <c r="B31" s="145" t="str">
        <f t="shared" si="0"/>
        <v/>
      </c>
      <c r="C31" s="496">
        <f>IF(D11="","-",+C30+1)</f>
        <v>2031</v>
      </c>
      <c r="D31" s="509">
        <f>IF(F30+SUM(E$17:E30)=D$10,F30,D$10-SUM(E$17:E30))</f>
        <v>6511211.8060000613</v>
      </c>
      <c r="E31" s="510">
        <f t="shared" si="8"/>
        <v>235543.17073170733</v>
      </c>
      <c r="F31" s="511">
        <f t="shared" si="9"/>
        <v>6275668.6352683539</v>
      </c>
      <c r="G31" s="512">
        <f t="shared" si="10"/>
        <v>986715.02814622212</v>
      </c>
      <c r="H31" s="478">
        <f t="shared" si="11"/>
        <v>986715.02814622212</v>
      </c>
      <c r="I31" s="501">
        <f t="shared" si="4"/>
        <v>0</v>
      </c>
      <c r="J31" s="501"/>
      <c r="K31" s="513"/>
      <c r="L31" s="505">
        <f t="shared" si="1"/>
        <v>0</v>
      </c>
      <c r="M31" s="513"/>
      <c r="N31" s="505">
        <f t="shared" si="2"/>
        <v>0</v>
      </c>
      <c r="O31" s="505">
        <f t="shared" si="3"/>
        <v>0</v>
      </c>
      <c r="P31" s="279"/>
    </row>
    <row r="32" spans="2:16" ht="12.5">
      <c r="B32" s="145" t="str">
        <f t="shared" si="0"/>
        <v/>
      </c>
      <c r="C32" s="496">
        <f>IF(D11="","-",+C31+1)</f>
        <v>2032</v>
      </c>
      <c r="D32" s="509">
        <f>IF(F31+SUM(E$17:E31)=D$10,F31,D$10-SUM(E$17:E31))</f>
        <v>6275668.6352683539</v>
      </c>
      <c r="E32" s="510">
        <f t="shared" si="8"/>
        <v>235543.17073170733</v>
      </c>
      <c r="F32" s="511">
        <f t="shared" si="9"/>
        <v>6040125.4645366464</v>
      </c>
      <c r="G32" s="512">
        <f t="shared" si="10"/>
        <v>959040.81912041397</v>
      </c>
      <c r="H32" s="478">
        <f t="shared" si="11"/>
        <v>959040.81912041397</v>
      </c>
      <c r="I32" s="501">
        <f t="shared" si="4"/>
        <v>0</v>
      </c>
      <c r="J32" s="501"/>
      <c r="K32" s="513"/>
      <c r="L32" s="505">
        <f t="shared" si="1"/>
        <v>0</v>
      </c>
      <c r="M32" s="513"/>
      <c r="N32" s="505">
        <f t="shared" si="2"/>
        <v>0</v>
      </c>
      <c r="O32" s="505">
        <f t="shared" si="3"/>
        <v>0</v>
      </c>
      <c r="P32" s="279"/>
    </row>
    <row r="33" spans="2:16" ht="12.5">
      <c r="B33" s="145" t="str">
        <f t="shared" si="0"/>
        <v/>
      </c>
      <c r="C33" s="496">
        <f>IF(D11="","-",+C32+1)</f>
        <v>2033</v>
      </c>
      <c r="D33" s="509">
        <f>IF(F32+SUM(E$17:E32)=D$10,F32,D$10-SUM(E$17:E32))</f>
        <v>6040125.4645366464</v>
      </c>
      <c r="E33" s="510">
        <f t="shared" si="8"/>
        <v>235543.17073170733</v>
      </c>
      <c r="F33" s="511">
        <f t="shared" si="9"/>
        <v>5804582.2938049389</v>
      </c>
      <c r="G33" s="512">
        <f t="shared" si="10"/>
        <v>931366.6100946056</v>
      </c>
      <c r="H33" s="478">
        <f t="shared" si="11"/>
        <v>931366.6100946056</v>
      </c>
      <c r="I33" s="501">
        <f t="shared" si="4"/>
        <v>0</v>
      </c>
      <c r="J33" s="501"/>
      <c r="K33" s="513"/>
      <c r="L33" s="505">
        <f t="shared" si="1"/>
        <v>0</v>
      </c>
      <c r="M33" s="513"/>
      <c r="N33" s="505">
        <f t="shared" si="2"/>
        <v>0</v>
      </c>
      <c r="O33" s="505">
        <f t="shared" si="3"/>
        <v>0</v>
      </c>
      <c r="P33" s="279"/>
    </row>
    <row r="34" spans="2:16" ht="12.5">
      <c r="B34" s="145" t="str">
        <f t="shared" si="0"/>
        <v/>
      </c>
      <c r="C34" s="496">
        <f>IF(D11="","-",+C33+1)</f>
        <v>2034</v>
      </c>
      <c r="D34" s="509">
        <f>IF(F33+SUM(E$17:E33)=D$10,F33,D$10-SUM(E$17:E33))</f>
        <v>5804582.2938049389</v>
      </c>
      <c r="E34" s="510">
        <f t="shared" si="8"/>
        <v>235543.17073170733</v>
      </c>
      <c r="F34" s="511">
        <f t="shared" si="9"/>
        <v>5569039.1230732314</v>
      </c>
      <c r="G34" s="512">
        <f t="shared" si="10"/>
        <v>903692.40106879745</v>
      </c>
      <c r="H34" s="478">
        <f t="shared" si="11"/>
        <v>903692.40106879745</v>
      </c>
      <c r="I34" s="501">
        <f t="shared" si="4"/>
        <v>0</v>
      </c>
      <c r="J34" s="501"/>
      <c r="K34" s="513"/>
      <c r="L34" s="505">
        <f t="shared" si="1"/>
        <v>0</v>
      </c>
      <c r="M34" s="513"/>
      <c r="N34" s="505">
        <f t="shared" si="2"/>
        <v>0</v>
      </c>
      <c r="O34" s="505">
        <f t="shared" si="3"/>
        <v>0</v>
      </c>
      <c r="P34" s="279"/>
    </row>
    <row r="35" spans="2:16" ht="12.5">
      <c r="B35" s="145" t="str">
        <f t="shared" si="0"/>
        <v/>
      </c>
      <c r="C35" s="496">
        <f>IF(D11="","-",+C34+1)</f>
        <v>2035</v>
      </c>
      <c r="D35" s="509">
        <f>IF(F34+SUM(E$17:E34)=D$10,F34,D$10-SUM(E$17:E34))</f>
        <v>5569039.1230732314</v>
      </c>
      <c r="E35" s="510">
        <f t="shared" si="8"/>
        <v>235543.17073170733</v>
      </c>
      <c r="F35" s="511">
        <f t="shared" si="9"/>
        <v>5333495.952341524</v>
      </c>
      <c r="G35" s="512">
        <f t="shared" si="10"/>
        <v>876018.19204298907</v>
      </c>
      <c r="H35" s="478">
        <f t="shared" si="11"/>
        <v>876018.19204298907</v>
      </c>
      <c r="I35" s="501">
        <f t="shared" si="4"/>
        <v>0</v>
      </c>
      <c r="J35" s="501"/>
      <c r="K35" s="513"/>
      <c r="L35" s="505">
        <f t="shared" si="1"/>
        <v>0</v>
      </c>
      <c r="M35" s="513"/>
      <c r="N35" s="505">
        <f t="shared" si="2"/>
        <v>0</v>
      </c>
      <c r="O35" s="505">
        <f t="shared" si="3"/>
        <v>0</v>
      </c>
      <c r="P35" s="279"/>
    </row>
    <row r="36" spans="2:16" ht="12.5">
      <c r="B36" s="145" t="str">
        <f t="shared" si="0"/>
        <v/>
      </c>
      <c r="C36" s="496">
        <f>IF(D11="","-",+C35+1)</f>
        <v>2036</v>
      </c>
      <c r="D36" s="509">
        <f>IF(F35+SUM(E$17:E35)=D$10,F35,D$10-SUM(E$17:E35))</f>
        <v>5333495.952341524</v>
      </c>
      <c r="E36" s="510">
        <f t="shared" si="8"/>
        <v>235543.17073170733</v>
      </c>
      <c r="F36" s="511">
        <f t="shared" si="9"/>
        <v>5097952.7816098165</v>
      </c>
      <c r="G36" s="512">
        <f t="shared" si="10"/>
        <v>848343.98301718081</v>
      </c>
      <c r="H36" s="478">
        <f t="shared" si="11"/>
        <v>848343.98301718081</v>
      </c>
      <c r="I36" s="501">
        <f t="shared" si="4"/>
        <v>0</v>
      </c>
      <c r="J36" s="501"/>
      <c r="K36" s="513"/>
      <c r="L36" s="505">
        <f t="shared" si="1"/>
        <v>0</v>
      </c>
      <c r="M36" s="513"/>
      <c r="N36" s="505">
        <f t="shared" si="2"/>
        <v>0</v>
      </c>
      <c r="O36" s="505">
        <f t="shared" si="3"/>
        <v>0</v>
      </c>
      <c r="P36" s="279"/>
    </row>
    <row r="37" spans="2:16" ht="12.5">
      <c r="B37" s="145" t="str">
        <f t="shared" si="0"/>
        <v/>
      </c>
      <c r="C37" s="496">
        <f>IF(D11="","-",+C36+1)</f>
        <v>2037</v>
      </c>
      <c r="D37" s="509">
        <f>IF(F36+SUM(E$17:E36)=D$10,F36,D$10-SUM(E$17:E36))</f>
        <v>5097952.7816098165</v>
      </c>
      <c r="E37" s="510">
        <f t="shared" si="8"/>
        <v>235543.17073170733</v>
      </c>
      <c r="F37" s="511">
        <f t="shared" si="9"/>
        <v>4862409.610878109</v>
      </c>
      <c r="G37" s="512">
        <f t="shared" si="10"/>
        <v>820669.77399137244</v>
      </c>
      <c r="H37" s="478">
        <f t="shared" si="11"/>
        <v>820669.77399137244</v>
      </c>
      <c r="I37" s="501">
        <f t="shared" si="4"/>
        <v>0</v>
      </c>
      <c r="J37" s="501"/>
      <c r="K37" s="513"/>
      <c r="L37" s="505">
        <f t="shared" si="1"/>
        <v>0</v>
      </c>
      <c r="M37" s="513"/>
      <c r="N37" s="505">
        <f t="shared" si="2"/>
        <v>0</v>
      </c>
      <c r="O37" s="505">
        <f t="shared" si="3"/>
        <v>0</v>
      </c>
      <c r="P37" s="279"/>
    </row>
    <row r="38" spans="2:16" ht="12.5">
      <c r="B38" s="145" t="str">
        <f t="shared" si="0"/>
        <v/>
      </c>
      <c r="C38" s="496">
        <f>IF(D11="","-",+C37+1)</f>
        <v>2038</v>
      </c>
      <c r="D38" s="509">
        <f>IF(F37+SUM(E$17:E37)=D$10,F37,D$10-SUM(E$17:E37))</f>
        <v>4862409.610878109</v>
      </c>
      <c r="E38" s="510">
        <f t="shared" si="8"/>
        <v>235543.17073170733</v>
      </c>
      <c r="F38" s="511">
        <f t="shared" si="9"/>
        <v>4626866.4401464015</v>
      </c>
      <c r="G38" s="512">
        <f t="shared" si="10"/>
        <v>792995.56496556429</v>
      </c>
      <c r="H38" s="478">
        <f t="shared" si="11"/>
        <v>792995.56496556429</v>
      </c>
      <c r="I38" s="501">
        <f t="shared" si="4"/>
        <v>0</v>
      </c>
      <c r="J38" s="501"/>
      <c r="K38" s="513"/>
      <c r="L38" s="505">
        <f t="shared" si="1"/>
        <v>0</v>
      </c>
      <c r="M38" s="513"/>
      <c r="N38" s="505">
        <f t="shared" si="2"/>
        <v>0</v>
      </c>
      <c r="O38" s="505">
        <f t="shared" si="3"/>
        <v>0</v>
      </c>
      <c r="P38" s="279"/>
    </row>
    <row r="39" spans="2:16" ht="12.5">
      <c r="B39" s="145" t="str">
        <f t="shared" si="0"/>
        <v/>
      </c>
      <c r="C39" s="496">
        <f>IF(D11="","-",+C38+1)</f>
        <v>2039</v>
      </c>
      <c r="D39" s="509">
        <f>IF(F38+SUM(E$17:E38)=D$10,F38,D$10-SUM(E$17:E38))</f>
        <v>4626866.4401464015</v>
      </c>
      <c r="E39" s="510">
        <f t="shared" si="8"/>
        <v>235543.17073170733</v>
      </c>
      <c r="F39" s="511">
        <f t="shared" si="9"/>
        <v>4391323.269414694</v>
      </c>
      <c r="G39" s="512">
        <f t="shared" si="10"/>
        <v>765321.35593975591</v>
      </c>
      <c r="H39" s="478">
        <f t="shared" si="11"/>
        <v>765321.35593975591</v>
      </c>
      <c r="I39" s="501">
        <f t="shared" si="4"/>
        <v>0</v>
      </c>
      <c r="J39" s="501"/>
      <c r="K39" s="513"/>
      <c r="L39" s="505">
        <f t="shared" si="1"/>
        <v>0</v>
      </c>
      <c r="M39" s="513"/>
      <c r="N39" s="505">
        <f t="shared" si="2"/>
        <v>0</v>
      </c>
      <c r="O39" s="505">
        <f t="shared" si="3"/>
        <v>0</v>
      </c>
      <c r="P39" s="279"/>
    </row>
    <row r="40" spans="2:16" ht="12.5">
      <c r="B40" s="145" t="str">
        <f t="shared" si="0"/>
        <v/>
      </c>
      <c r="C40" s="496">
        <f>IF(D11="","-",+C39+1)</f>
        <v>2040</v>
      </c>
      <c r="D40" s="509">
        <f>IF(F39+SUM(E$17:E39)=D$10,F39,D$10-SUM(E$17:E39))</f>
        <v>4391323.269414694</v>
      </c>
      <c r="E40" s="510">
        <f t="shared" si="8"/>
        <v>235543.17073170733</v>
      </c>
      <c r="F40" s="511">
        <f t="shared" si="9"/>
        <v>4155780.0986829866</v>
      </c>
      <c r="G40" s="512">
        <f t="shared" si="10"/>
        <v>737647.14691394765</v>
      </c>
      <c r="H40" s="478">
        <f t="shared" si="11"/>
        <v>737647.14691394765</v>
      </c>
      <c r="I40" s="501">
        <f t="shared" si="4"/>
        <v>0</v>
      </c>
      <c r="J40" s="501"/>
      <c r="K40" s="513"/>
      <c r="L40" s="505">
        <f t="shared" si="1"/>
        <v>0</v>
      </c>
      <c r="M40" s="513"/>
      <c r="N40" s="505">
        <f t="shared" si="2"/>
        <v>0</v>
      </c>
      <c r="O40" s="505">
        <f t="shared" si="3"/>
        <v>0</v>
      </c>
      <c r="P40" s="279"/>
    </row>
    <row r="41" spans="2:16" ht="12.5">
      <c r="B41" s="145" t="str">
        <f t="shared" si="0"/>
        <v/>
      </c>
      <c r="C41" s="496">
        <f>IF(D11="","-",+C40+1)</f>
        <v>2041</v>
      </c>
      <c r="D41" s="509">
        <f>IF(F40+SUM(E$17:E40)=D$10,F40,D$10-SUM(E$17:E40))</f>
        <v>4155780.0986829866</v>
      </c>
      <c r="E41" s="510">
        <f t="shared" si="8"/>
        <v>235543.17073170733</v>
      </c>
      <c r="F41" s="511">
        <f t="shared" si="9"/>
        <v>3920236.9279512791</v>
      </c>
      <c r="G41" s="512">
        <f t="shared" si="10"/>
        <v>709972.93788813939</v>
      </c>
      <c r="H41" s="478">
        <f t="shared" si="11"/>
        <v>709972.93788813939</v>
      </c>
      <c r="I41" s="501">
        <f t="shared" si="4"/>
        <v>0</v>
      </c>
      <c r="J41" s="501"/>
      <c r="K41" s="513"/>
      <c r="L41" s="505">
        <f t="shared" si="1"/>
        <v>0</v>
      </c>
      <c r="M41" s="513"/>
      <c r="N41" s="505">
        <f t="shared" si="2"/>
        <v>0</v>
      </c>
      <c r="O41" s="505">
        <f t="shared" si="3"/>
        <v>0</v>
      </c>
      <c r="P41" s="279"/>
    </row>
    <row r="42" spans="2:16" ht="12.5">
      <c r="B42" s="145" t="str">
        <f t="shared" si="0"/>
        <v/>
      </c>
      <c r="C42" s="496">
        <f>IF(D11="","-",+C41+1)</f>
        <v>2042</v>
      </c>
      <c r="D42" s="509">
        <f>IF(F41+SUM(E$17:E41)=D$10,F41,D$10-SUM(E$17:E41))</f>
        <v>3920236.9279512791</v>
      </c>
      <c r="E42" s="510">
        <f t="shared" si="8"/>
        <v>235543.17073170733</v>
      </c>
      <c r="F42" s="511">
        <f t="shared" si="9"/>
        <v>3684693.7572195716</v>
      </c>
      <c r="G42" s="512">
        <f t="shared" si="10"/>
        <v>682298.72886233102</v>
      </c>
      <c r="H42" s="478">
        <f t="shared" si="11"/>
        <v>682298.72886233102</v>
      </c>
      <c r="I42" s="501">
        <f t="shared" si="4"/>
        <v>0</v>
      </c>
      <c r="J42" s="501"/>
      <c r="K42" s="513"/>
      <c r="L42" s="505">
        <f t="shared" si="1"/>
        <v>0</v>
      </c>
      <c r="M42" s="513"/>
      <c r="N42" s="505">
        <f t="shared" si="2"/>
        <v>0</v>
      </c>
      <c r="O42" s="505">
        <f t="shared" si="3"/>
        <v>0</v>
      </c>
      <c r="P42" s="279"/>
    </row>
    <row r="43" spans="2:16" ht="12.5">
      <c r="B43" s="145" t="str">
        <f t="shared" si="0"/>
        <v/>
      </c>
      <c r="C43" s="496">
        <f>IF(D11="","-",+C42+1)</f>
        <v>2043</v>
      </c>
      <c r="D43" s="509">
        <f>IF(F42+SUM(E$17:E42)=D$10,F42,D$10-SUM(E$17:E42))</f>
        <v>3684693.7572195716</v>
      </c>
      <c r="E43" s="510">
        <f t="shared" si="8"/>
        <v>235543.17073170733</v>
      </c>
      <c r="F43" s="511">
        <f t="shared" si="9"/>
        <v>3449150.5864878641</v>
      </c>
      <c r="G43" s="512">
        <f t="shared" si="10"/>
        <v>654624.51983652276</v>
      </c>
      <c r="H43" s="478">
        <f t="shared" si="11"/>
        <v>654624.51983652276</v>
      </c>
      <c r="I43" s="501">
        <f t="shared" si="4"/>
        <v>0</v>
      </c>
      <c r="J43" s="501"/>
      <c r="K43" s="513"/>
      <c r="L43" s="505">
        <f t="shared" si="1"/>
        <v>0</v>
      </c>
      <c r="M43" s="513"/>
      <c r="N43" s="505">
        <f t="shared" si="2"/>
        <v>0</v>
      </c>
      <c r="O43" s="505">
        <f t="shared" si="3"/>
        <v>0</v>
      </c>
      <c r="P43" s="279"/>
    </row>
    <row r="44" spans="2:16" ht="12.5">
      <c r="B44" s="145" t="str">
        <f t="shared" si="0"/>
        <v/>
      </c>
      <c r="C44" s="496">
        <f>IF(D11="","-",+C43+1)</f>
        <v>2044</v>
      </c>
      <c r="D44" s="509">
        <f>IF(F43+SUM(E$17:E43)=D$10,F43,D$10-SUM(E$17:E43))</f>
        <v>3449150.5864878641</v>
      </c>
      <c r="E44" s="510">
        <f t="shared" si="8"/>
        <v>235543.17073170733</v>
      </c>
      <c r="F44" s="511">
        <f t="shared" si="9"/>
        <v>3213607.4157561567</v>
      </c>
      <c r="G44" s="512">
        <f t="shared" si="10"/>
        <v>626950.31081071449</v>
      </c>
      <c r="H44" s="478">
        <f t="shared" si="11"/>
        <v>626950.31081071449</v>
      </c>
      <c r="I44" s="501">
        <f t="shared" si="4"/>
        <v>0</v>
      </c>
      <c r="J44" s="501"/>
      <c r="K44" s="513"/>
      <c r="L44" s="505">
        <f t="shared" si="1"/>
        <v>0</v>
      </c>
      <c r="M44" s="513"/>
      <c r="N44" s="505">
        <f t="shared" si="2"/>
        <v>0</v>
      </c>
      <c r="O44" s="505">
        <f t="shared" si="3"/>
        <v>0</v>
      </c>
      <c r="P44" s="279"/>
    </row>
    <row r="45" spans="2:16" ht="12.5">
      <c r="B45" s="145" t="str">
        <f t="shared" si="0"/>
        <v/>
      </c>
      <c r="C45" s="496">
        <f>IF(D11="","-",+C44+1)</f>
        <v>2045</v>
      </c>
      <c r="D45" s="509">
        <f>IF(F44+SUM(E$17:E44)=D$10,F44,D$10-SUM(E$17:E44))</f>
        <v>3213607.4157561567</v>
      </c>
      <c r="E45" s="510">
        <f t="shared" si="8"/>
        <v>235543.17073170733</v>
      </c>
      <c r="F45" s="511">
        <f t="shared" si="9"/>
        <v>2978064.2450244492</v>
      </c>
      <c r="G45" s="512">
        <f t="shared" si="10"/>
        <v>599276.10178490623</v>
      </c>
      <c r="H45" s="478">
        <f t="shared" si="11"/>
        <v>599276.10178490623</v>
      </c>
      <c r="I45" s="501">
        <f t="shared" si="4"/>
        <v>0</v>
      </c>
      <c r="J45" s="501"/>
      <c r="K45" s="513"/>
      <c r="L45" s="505">
        <f t="shared" si="1"/>
        <v>0</v>
      </c>
      <c r="M45" s="513"/>
      <c r="N45" s="505">
        <f t="shared" si="2"/>
        <v>0</v>
      </c>
      <c r="O45" s="505">
        <f t="shared" si="3"/>
        <v>0</v>
      </c>
      <c r="P45" s="279"/>
    </row>
    <row r="46" spans="2:16" ht="12.5">
      <c r="B46" s="145" t="str">
        <f t="shared" si="0"/>
        <v/>
      </c>
      <c r="C46" s="496">
        <f>IF(D11="","-",+C45+1)</f>
        <v>2046</v>
      </c>
      <c r="D46" s="509">
        <f>IF(F45+SUM(E$17:E45)=D$10,F45,D$10-SUM(E$17:E45))</f>
        <v>2978064.2450244492</v>
      </c>
      <c r="E46" s="510">
        <f t="shared" si="8"/>
        <v>235543.17073170733</v>
      </c>
      <c r="F46" s="511">
        <f t="shared" si="9"/>
        <v>2742521.0742927417</v>
      </c>
      <c r="G46" s="512">
        <f t="shared" si="10"/>
        <v>571601.89275909797</v>
      </c>
      <c r="H46" s="478">
        <f t="shared" si="11"/>
        <v>571601.89275909797</v>
      </c>
      <c r="I46" s="501">
        <f t="shared" si="4"/>
        <v>0</v>
      </c>
      <c r="J46" s="501"/>
      <c r="K46" s="513"/>
      <c r="L46" s="505">
        <f t="shared" si="1"/>
        <v>0</v>
      </c>
      <c r="M46" s="513"/>
      <c r="N46" s="505">
        <f t="shared" si="2"/>
        <v>0</v>
      </c>
      <c r="O46" s="505">
        <f t="shared" si="3"/>
        <v>0</v>
      </c>
      <c r="P46" s="279"/>
    </row>
    <row r="47" spans="2:16" ht="12.5">
      <c r="B47" s="145" t="str">
        <f t="shared" si="0"/>
        <v/>
      </c>
      <c r="C47" s="496">
        <f>IF(D11="","-",+C46+1)</f>
        <v>2047</v>
      </c>
      <c r="D47" s="509">
        <f>IF(F46+SUM(E$17:E46)=D$10,F46,D$10-SUM(E$17:E46))</f>
        <v>2742521.0742927417</v>
      </c>
      <c r="E47" s="510">
        <f t="shared" si="8"/>
        <v>235543.17073170733</v>
      </c>
      <c r="F47" s="511">
        <f t="shared" si="9"/>
        <v>2506977.9035610342</v>
      </c>
      <c r="G47" s="512">
        <f t="shared" si="10"/>
        <v>543927.6837332896</v>
      </c>
      <c r="H47" s="478">
        <f t="shared" si="11"/>
        <v>543927.6837332896</v>
      </c>
      <c r="I47" s="501">
        <f t="shared" si="4"/>
        <v>0</v>
      </c>
      <c r="J47" s="501"/>
      <c r="K47" s="513"/>
      <c r="L47" s="505">
        <f t="shared" si="1"/>
        <v>0</v>
      </c>
      <c r="M47" s="513"/>
      <c r="N47" s="505">
        <f t="shared" si="2"/>
        <v>0</v>
      </c>
      <c r="O47" s="505">
        <f t="shared" si="3"/>
        <v>0</v>
      </c>
      <c r="P47" s="279"/>
    </row>
    <row r="48" spans="2:16" ht="12.5">
      <c r="B48" s="145" t="str">
        <f t="shared" si="0"/>
        <v/>
      </c>
      <c r="C48" s="496">
        <f>IF(D11="","-",+C47+1)</f>
        <v>2048</v>
      </c>
      <c r="D48" s="509">
        <f>IF(F47+SUM(E$17:E47)=D$10,F47,D$10-SUM(E$17:E47))</f>
        <v>2506977.9035610342</v>
      </c>
      <c r="E48" s="510">
        <f t="shared" si="8"/>
        <v>235543.17073170733</v>
      </c>
      <c r="F48" s="511">
        <f t="shared" si="9"/>
        <v>2271434.7328293268</v>
      </c>
      <c r="G48" s="512">
        <f t="shared" si="10"/>
        <v>516253.47470748133</v>
      </c>
      <c r="H48" s="478">
        <f t="shared" si="11"/>
        <v>516253.47470748133</v>
      </c>
      <c r="I48" s="501">
        <f t="shared" si="4"/>
        <v>0</v>
      </c>
      <c r="J48" s="501"/>
      <c r="K48" s="513"/>
      <c r="L48" s="505">
        <f t="shared" si="1"/>
        <v>0</v>
      </c>
      <c r="M48" s="513"/>
      <c r="N48" s="505">
        <f t="shared" si="2"/>
        <v>0</v>
      </c>
      <c r="O48" s="505">
        <f t="shared" si="3"/>
        <v>0</v>
      </c>
      <c r="P48" s="279"/>
    </row>
    <row r="49" spans="2:16" ht="12.5">
      <c r="B49" s="145" t="str">
        <f t="shared" si="0"/>
        <v/>
      </c>
      <c r="C49" s="496">
        <f>IF(D11="","-",+C48+1)</f>
        <v>2049</v>
      </c>
      <c r="D49" s="509">
        <f>IF(F48+SUM(E$17:E48)=D$10,F48,D$10-SUM(E$17:E48))</f>
        <v>2271434.7328293268</v>
      </c>
      <c r="E49" s="510">
        <f t="shared" si="8"/>
        <v>235543.17073170733</v>
      </c>
      <c r="F49" s="511">
        <f t="shared" si="9"/>
        <v>2035891.5620976195</v>
      </c>
      <c r="G49" s="512">
        <f t="shared" ref="G49:G71" si="12">(D49+F49)/2*I$12+E49</f>
        <v>488579.26568167307</v>
      </c>
      <c r="H49" s="478">
        <f t="shared" ref="H49:H71" si="13">+(D49+F49)/2*I$13+E49</f>
        <v>488579.26568167307</v>
      </c>
      <c r="I49" s="501">
        <f t="shared" si="4"/>
        <v>0</v>
      </c>
      <c r="J49" s="501"/>
      <c r="K49" s="513"/>
      <c r="L49" s="505">
        <f t="shared" si="1"/>
        <v>0</v>
      </c>
      <c r="M49" s="513"/>
      <c r="N49" s="505">
        <f t="shared" si="2"/>
        <v>0</v>
      </c>
      <c r="O49" s="505">
        <f t="shared" si="3"/>
        <v>0</v>
      </c>
      <c r="P49" s="279"/>
    </row>
    <row r="50" spans="2:16" ht="12.5">
      <c r="B50" s="145" t="str">
        <f t="shared" si="0"/>
        <v/>
      </c>
      <c r="C50" s="496">
        <f>IF(D11="","-",+C49+1)</f>
        <v>2050</v>
      </c>
      <c r="D50" s="509">
        <f>IF(F49+SUM(E$17:E49)=D$10,F49,D$10-SUM(E$17:E49))</f>
        <v>2035891.5620976195</v>
      </c>
      <c r="E50" s="510">
        <f t="shared" ref="E50:E71" si="14">IF(+I$14&lt;F49,I$14,D50)</f>
        <v>235543.17073170733</v>
      </c>
      <c r="F50" s="511">
        <f t="shared" si="9"/>
        <v>1800348.3913659123</v>
      </c>
      <c r="G50" s="512">
        <f t="shared" si="12"/>
        <v>460905.05665586481</v>
      </c>
      <c r="H50" s="478">
        <f t="shared" si="13"/>
        <v>460905.05665586481</v>
      </c>
      <c r="I50" s="501">
        <f t="shared" si="4"/>
        <v>0</v>
      </c>
      <c r="J50" s="501"/>
      <c r="K50" s="513"/>
      <c r="L50" s="505">
        <f t="shared" si="1"/>
        <v>0</v>
      </c>
      <c r="M50" s="513"/>
      <c r="N50" s="505">
        <f t="shared" si="2"/>
        <v>0</v>
      </c>
      <c r="O50" s="505">
        <f t="shared" si="3"/>
        <v>0</v>
      </c>
      <c r="P50" s="279"/>
    </row>
    <row r="51" spans="2:16" ht="12.5">
      <c r="B51" s="145" t="str">
        <f t="shared" si="0"/>
        <v/>
      </c>
      <c r="C51" s="496">
        <f>IF(D11="","-",+C50+1)</f>
        <v>2051</v>
      </c>
      <c r="D51" s="509">
        <f>IF(F50+SUM(E$17:E50)=D$10,F50,D$10-SUM(E$17:E50))</f>
        <v>1800348.3913659123</v>
      </c>
      <c r="E51" s="510">
        <f t="shared" si="14"/>
        <v>235543.17073170733</v>
      </c>
      <c r="F51" s="511">
        <f t="shared" si="9"/>
        <v>1564805.220634205</v>
      </c>
      <c r="G51" s="512">
        <f t="shared" si="12"/>
        <v>433230.84763005655</v>
      </c>
      <c r="H51" s="478">
        <f t="shared" si="13"/>
        <v>433230.84763005655</v>
      </c>
      <c r="I51" s="501">
        <f t="shared" si="4"/>
        <v>0</v>
      </c>
      <c r="J51" s="501"/>
      <c r="K51" s="513"/>
      <c r="L51" s="505">
        <f t="shared" si="1"/>
        <v>0</v>
      </c>
      <c r="M51" s="513"/>
      <c r="N51" s="505">
        <f t="shared" si="2"/>
        <v>0</v>
      </c>
      <c r="O51" s="505">
        <f t="shared" si="3"/>
        <v>0</v>
      </c>
      <c r="P51" s="279"/>
    </row>
    <row r="52" spans="2:16" ht="12.5">
      <c r="B52" s="145" t="str">
        <f t="shared" si="0"/>
        <v/>
      </c>
      <c r="C52" s="496">
        <f>IF(D11="","-",+C51+1)</f>
        <v>2052</v>
      </c>
      <c r="D52" s="509">
        <f>IF(F51+SUM(E$17:E51)=D$10,F51,D$10-SUM(E$17:E51))</f>
        <v>1564805.220634205</v>
      </c>
      <c r="E52" s="510">
        <f t="shared" si="14"/>
        <v>235543.17073170733</v>
      </c>
      <c r="F52" s="511">
        <f t="shared" si="9"/>
        <v>1329262.0499024978</v>
      </c>
      <c r="G52" s="512">
        <f t="shared" si="12"/>
        <v>405556.63860424829</v>
      </c>
      <c r="H52" s="478">
        <f t="shared" si="13"/>
        <v>405556.63860424829</v>
      </c>
      <c r="I52" s="501">
        <f t="shared" si="4"/>
        <v>0</v>
      </c>
      <c r="J52" s="501"/>
      <c r="K52" s="513"/>
      <c r="L52" s="505">
        <f t="shared" si="1"/>
        <v>0</v>
      </c>
      <c r="M52" s="513"/>
      <c r="N52" s="505">
        <f t="shared" si="2"/>
        <v>0</v>
      </c>
      <c r="O52" s="505">
        <f t="shared" si="3"/>
        <v>0</v>
      </c>
      <c r="P52" s="279"/>
    </row>
    <row r="53" spans="2:16" ht="12.5">
      <c r="B53" s="145" t="str">
        <f t="shared" si="0"/>
        <v/>
      </c>
      <c r="C53" s="496">
        <f>IF(D11="","-",+C52+1)</f>
        <v>2053</v>
      </c>
      <c r="D53" s="509">
        <f>IF(F52+SUM(E$17:E52)=D$10,F52,D$10-SUM(E$17:E52))</f>
        <v>1329262.0499024978</v>
      </c>
      <c r="E53" s="510">
        <f t="shared" si="14"/>
        <v>235543.17073170733</v>
      </c>
      <c r="F53" s="511">
        <f t="shared" si="9"/>
        <v>1093718.8791707905</v>
      </c>
      <c r="G53" s="512">
        <f t="shared" si="12"/>
        <v>377882.42957844003</v>
      </c>
      <c r="H53" s="478">
        <f t="shared" si="13"/>
        <v>377882.42957844003</v>
      </c>
      <c r="I53" s="501">
        <f t="shared" si="4"/>
        <v>0</v>
      </c>
      <c r="J53" s="501"/>
      <c r="K53" s="513"/>
      <c r="L53" s="505">
        <f t="shared" si="1"/>
        <v>0</v>
      </c>
      <c r="M53" s="513"/>
      <c r="N53" s="505">
        <f t="shared" si="2"/>
        <v>0</v>
      </c>
      <c r="O53" s="505">
        <f t="shared" si="3"/>
        <v>0</v>
      </c>
      <c r="P53" s="279"/>
    </row>
    <row r="54" spans="2:16" ht="12.5">
      <c r="B54" s="145" t="str">
        <f t="shared" si="0"/>
        <v/>
      </c>
      <c r="C54" s="496">
        <f>IF(D11="","-",+C53+1)</f>
        <v>2054</v>
      </c>
      <c r="D54" s="509">
        <f>IF(F53+SUM(E$17:E53)=D$10,F53,D$10-SUM(E$17:E53))</f>
        <v>1093718.8791707905</v>
      </c>
      <c r="E54" s="510">
        <f t="shared" si="14"/>
        <v>235543.17073170733</v>
      </c>
      <c r="F54" s="511">
        <f t="shared" si="9"/>
        <v>858175.70843908319</v>
      </c>
      <c r="G54" s="512">
        <f t="shared" si="12"/>
        <v>350208.22055263177</v>
      </c>
      <c r="H54" s="478">
        <f t="shared" si="13"/>
        <v>350208.22055263177</v>
      </c>
      <c r="I54" s="501">
        <f t="shared" si="4"/>
        <v>0</v>
      </c>
      <c r="J54" s="501"/>
      <c r="K54" s="513"/>
      <c r="L54" s="505">
        <f t="shared" si="1"/>
        <v>0</v>
      </c>
      <c r="M54" s="513"/>
      <c r="N54" s="505">
        <f t="shared" si="2"/>
        <v>0</v>
      </c>
      <c r="O54" s="505">
        <f t="shared" si="3"/>
        <v>0</v>
      </c>
      <c r="P54" s="279"/>
    </row>
    <row r="55" spans="2:16" ht="12.5">
      <c r="B55" s="145" t="str">
        <f t="shared" si="0"/>
        <v/>
      </c>
      <c r="C55" s="496">
        <f>IF(D11="","-",+C54+1)</f>
        <v>2055</v>
      </c>
      <c r="D55" s="509">
        <f>IF(F54+SUM(E$17:E54)=D$10,F54,D$10-SUM(E$17:E54))</f>
        <v>858175.70843908319</v>
      </c>
      <c r="E55" s="510">
        <f t="shared" si="14"/>
        <v>235543.17073170733</v>
      </c>
      <c r="F55" s="511">
        <f t="shared" si="9"/>
        <v>622632.53770737583</v>
      </c>
      <c r="G55" s="512">
        <f t="shared" si="12"/>
        <v>322534.01152682351</v>
      </c>
      <c r="H55" s="478">
        <f t="shared" si="13"/>
        <v>322534.01152682351</v>
      </c>
      <c r="I55" s="501">
        <f t="shared" si="4"/>
        <v>0</v>
      </c>
      <c r="J55" s="501"/>
      <c r="K55" s="513"/>
      <c r="L55" s="505">
        <f t="shared" si="1"/>
        <v>0</v>
      </c>
      <c r="M55" s="513"/>
      <c r="N55" s="505">
        <f t="shared" si="2"/>
        <v>0</v>
      </c>
      <c r="O55" s="505">
        <f t="shared" si="3"/>
        <v>0</v>
      </c>
      <c r="P55" s="279"/>
    </row>
    <row r="56" spans="2:16" ht="12.5">
      <c r="B56" s="145" t="str">
        <f t="shared" si="0"/>
        <v/>
      </c>
      <c r="C56" s="496">
        <f>IF(D11="","-",+C55+1)</f>
        <v>2056</v>
      </c>
      <c r="D56" s="509">
        <f>IF(F55+SUM(E$17:E55)=D$10,F55,D$10-SUM(E$17:E55))</f>
        <v>622632.53770737583</v>
      </c>
      <c r="E56" s="510">
        <f t="shared" si="14"/>
        <v>235543.17073170733</v>
      </c>
      <c r="F56" s="511">
        <f t="shared" si="9"/>
        <v>387089.36697566847</v>
      </c>
      <c r="G56" s="512">
        <f t="shared" si="12"/>
        <v>294859.80250101525</v>
      </c>
      <c r="H56" s="478">
        <f t="shared" si="13"/>
        <v>294859.80250101525</v>
      </c>
      <c r="I56" s="501">
        <f t="shared" si="4"/>
        <v>0</v>
      </c>
      <c r="J56" s="501"/>
      <c r="K56" s="513"/>
      <c r="L56" s="505">
        <f t="shared" si="1"/>
        <v>0</v>
      </c>
      <c r="M56" s="513"/>
      <c r="N56" s="505">
        <f t="shared" si="2"/>
        <v>0</v>
      </c>
      <c r="O56" s="505">
        <f t="shared" si="3"/>
        <v>0</v>
      </c>
      <c r="P56" s="279"/>
    </row>
    <row r="57" spans="2:16" ht="12.5">
      <c r="B57" s="145" t="str">
        <f t="shared" si="0"/>
        <v/>
      </c>
      <c r="C57" s="496">
        <f>IF(D11="","-",+C56+1)</f>
        <v>2057</v>
      </c>
      <c r="D57" s="509">
        <f>IF(F56+SUM(E$17:E56)=D$10,F56,D$10-SUM(E$17:E56))</f>
        <v>387089.36697566847</v>
      </c>
      <c r="E57" s="510">
        <f t="shared" si="14"/>
        <v>235543.17073170733</v>
      </c>
      <c r="F57" s="511">
        <f t="shared" si="9"/>
        <v>151546.19624396114</v>
      </c>
      <c r="G57" s="512">
        <f t="shared" si="12"/>
        <v>267185.59347520699</v>
      </c>
      <c r="H57" s="478">
        <f t="shared" si="13"/>
        <v>267185.59347520699</v>
      </c>
      <c r="I57" s="501">
        <f t="shared" si="4"/>
        <v>0</v>
      </c>
      <c r="J57" s="501"/>
      <c r="K57" s="513"/>
      <c r="L57" s="505">
        <f t="shared" si="1"/>
        <v>0</v>
      </c>
      <c r="M57" s="513"/>
      <c r="N57" s="505">
        <f t="shared" si="2"/>
        <v>0</v>
      </c>
      <c r="O57" s="505">
        <f t="shared" si="3"/>
        <v>0</v>
      </c>
      <c r="P57" s="279"/>
    </row>
    <row r="58" spans="2:16" ht="12.5">
      <c r="B58" s="145" t="str">
        <f t="shared" si="0"/>
        <v/>
      </c>
      <c r="C58" s="496">
        <f>IF(D11="","-",+C57+1)</f>
        <v>2058</v>
      </c>
      <c r="D58" s="509">
        <f>IF(F57+SUM(E$17:E57)=D$10,F57,D$10-SUM(E$17:E57))</f>
        <v>151546.19624396114</v>
      </c>
      <c r="E58" s="510">
        <f t="shared" si="14"/>
        <v>151546.19624396114</v>
      </c>
      <c r="F58" s="511">
        <f t="shared" si="9"/>
        <v>0</v>
      </c>
      <c r="G58" s="512">
        <f t="shared" si="12"/>
        <v>160448.85535925889</v>
      </c>
      <c r="H58" s="478">
        <f t="shared" si="13"/>
        <v>160448.85535925889</v>
      </c>
      <c r="I58" s="501">
        <f t="shared" si="4"/>
        <v>0</v>
      </c>
      <c r="J58" s="501"/>
      <c r="K58" s="513"/>
      <c r="L58" s="505">
        <f t="shared" si="1"/>
        <v>0</v>
      </c>
      <c r="M58" s="513"/>
      <c r="N58" s="505">
        <f t="shared" si="2"/>
        <v>0</v>
      </c>
      <c r="O58" s="505">
        <f t="shared" si="3"/>
        <v>0</v>
      </c>
      <c r="P58" s="279"/>
    </row>
    <row r="59" spans="2:16" ht="12.5">
      <c r="B59" s="145" t="str">
        <f t="shared" si="0"/>
        <v/>
      </c>
      <c r="C59" s="496">
        <f>IF(D11="","-",+C58+1)</f>
        <v>2059</v>
      </c>
      <c r="D59" s="509">
        <f>IF(F58+SUM(E$17:E58)=D$10,F58,D$10-SUM(E$17:E58))</f>
        <v>0</v>
      </c>
      <c r="E59" s="510">
        <f t="shared" si="14"/>
        <v>0</v>
      </c>
      <c r="F59" s="511">
        <f t="shared" si="9"/>
        <v>0</v>
      </c>
      <c r="G59" s="512">
        <f t="shared" si="12"/>
        <v>0</v>
      </c>
      <c r="H59" s="478">
        <f t="shared" si="13"/>
        <v>0</v>
      </c>
      <c r="I59" s="501">
        <f t="shared" si="4"/>
        <v>0</v>
      </c>
      <c r="J59" s="501"/>
      <c r="K59" s="513"/>
      <c r="L59" s="505">
        <f t="shared" si="1"/>
        <v>0</v>
      </c>
      <c r="M59" s="513"/>
      <c r="N59" s="505">
        <f t="shared" si="2"/>
        <v>0</v>
      </c>
      <c r="O59" s="505">
        <f t="shared" si="3"/>
        <v>0</v>
      </c>
      <c r="P59" s="279"/>
    </row>
    <row r="60" spans="2:16" ht="12.5">
      <c r="B60" s="145" t="str">
        <f t="shared" si="0"/>
        <v/>
      </c>
      <c r="C60" s="496">
        <f>IF(D11="","-",+C59+1)</f>
        <v>2060</v>
      </c>
      <c r="D60" s="509">
        <f>IF(F59+SUM(E$17:E59)=D$10,F59,D$10-SUM(E$17:E59))</f>
        <v>0</v>
      </c>
      <c r="E60" s="510">
        <f t="shared" si="14"/>
        <v>0</v>
      </c>
      <c r="F60" s="511">
        <f t="shared" si="9"/>
        <v>0</v>
      </c>
      <c r="G60" s="512">
        <f t="shared" si="12"/>
        <v>0</v>
      </c>
      <c r="H60" s="478">
        <f t="shared" si="13"/>
        <v>0</v>
      </c>
      <c r="I60" s="501">
        <f t="shared" si="4"/>
        <v>0</v>
      </c>
      <c r="J60" s="501"/>
      <c r="K60" s="513"/>
      <c r="L60" s="505">
        <f t="shared" si="1"/>
        <v>0</v>
      </c>
      <c r="M60" s="513"/>
      <c r="N60" s="505">
        <f t="shared" si="2"/>
        <v>0</v>
      </c>
      <c r="O60" s="505">
        <f t="shared" si="3"/>
        <v>0</v>
      </c>
      <c r="P60" s="279"/>
    </row>
    <row r="61" spans="2:16" ht="12.5">
      <c r="B61" s="145" t="str">
        <f t="shared" si="0"/>
        <v/>
      </c>
      <c r="C61" s="496">
        <f>IF(D11="","-",+C60+1)</f>
        <v>2061</v>
      </c>
      <c r="D61" s="509">
        <f>IF(F60+SUM(E$17:E60)=D$10,F60,D$10-SUM(E$17:E60))</f>
        <v>0</v>
      </c>
      <c r="E61" s="510">
        <f t="shared" si="14"/>
        <v>0</v>
      </c>
      <c r="F61" s="511">
        <f t="shared" si="9"/>
        <v>0</v>
      </c>
      <c r="G61" s="524">
        <f t="shared" si="12"/>
        <v>0</v>
      </c>
      <c r="H61" s="478">
        <f t="shared" si="13"/>
        <v>0</v>
      </c>
      <c r="I61" s="501">
        <f t="shared" si="4"/>
        <v>0</v>
      </c>
      <c r="J61" s="501"/>
      <c r="K61" s="513"/>
      <c r="L61" s="505">
        <f t="shared" si="1"/>
        <v>0</v>
      </c>
      <c r="M61" s="513"/>
      <c r="N61" s="505">
        <f t="shared" si="2"/>
        <v>0</v>
      </c>
      <c r="O61" s="505">
        <f t="shared" si="3"/>
        <v>0</v>
      </c>
      <c r="P61" s="279"/>
    </row>
    <row r="62" spans="2:16" ht="12.5">
      <c r="B62" s="145" t="str">
        <f t="shared" si="0"/>
        <v/>
      </c>
      <c r="C62" s="496">
        <f>IF(D11="","-",+C61+1)</f>
        <v>2062</v>
      </c>
      <c r="D62" s="509">
        <f>IF(F61+SUM(E$17:E61)=D$10,F61,D$10-SUM(E$17:E61))</f>
        <v>0</v>
      </c>
      <c r="E62" s="510">
        <f t="shared" si="14"/>
        <v>0</v>
      </c>
      <c r="F62" s="511">
        <f t="shared" si="9"/>
        <v>0</v>
      </c>
      <c r="G62" s="524">
        <f t="shared" si="12"/>
        <v>0</v>
      </c>
      <c r="H62" s="478">
        <f t="shared" si="13"/>
        <v>0</v>
      </c>
      <c r="I62" s="501">
        <f t="shared" si="4"/>
        <v>0</v>
      </c>
      <c r="J62" s="501"/>
      <c r="K62" s="513"/>
      <c r="L62" s="505">
        <f t="shared" si="1"/>
        <v>0</v>
      </c>
      <c r="M62" s="513"/>
      <c r="N62" s="505">
        <f t="shared" si="2"/>
        <v>0</v>
      </c>
      <c r="O62" s="505">
        <f t="shared" si="3"/>
        <v>0</v>
      </c>
      <c r="P62" s="279"/>
    </row>
    <row r="63" spans="2:16" ht="12.5">
      <c r="B63" s="145" t="str">
        <f t="shared" si="0"/>
        <v/>
      </c>
      <c r="C63" s="496">
        <f>IF(D11="","-",+C62+1)</f>
        <v>2063</v>
      </c>
      <c r="D63" s="509">
        <f>IF(F62+SUM(E$17:E62)=D$10,F62,D$10-SUM(E$17:E62))</f>
        <v>0</v>
      </c>
      <c r="E63" s="510">
        <f t="shared" si="14"/>
        <v>0</v>
      </c>
      <c r="F63" s="511">
        <f t="shared" si="9"/>
        <v>0</v>
      </c>
      <c r="G63" s="524">
        <f t="shared" si="12"/>
        <v>0</v>
      </c>
      <c r="H63" s="478">
        <f t="shared" si="13"/>
        <v>0</v>
      </c>
      <c r="I63" s="501">
        <f t="shared" si="4"/>
        <v>0</v>
      </c>
      <c r="J63" s="501"/>
      <c r="K63" s="513"/>
      <c r="L63" s="505">
        <f t="shared" si="1"/>
        <v>0</v>
      </c>
      <c r="M63" s="513"/>
      <c r="N63" s="505">
        <f t="shared" si="2"/>
        <v>0</v>
      </c>
      <c r="O63" s="505">
        <f t="shared" si="3"/>
        <v>0</v>
      </c>
      <c r="P63" s="279"/>
    </row>
    <row r="64" spans="2:16" ht="12.5">
      <c r="B64" s="145" t="str">
        <f t="shared" si="0"/>
        <v/>
      </c>
      <c r="C64" s="496">
        <f>IF(D11="","-",+C63+1)</f>
        <v>2064</v>
      </c>
      <c r="D64" s="509">
        <f>IF(F63+SUM(E$17:E63)=D$10,F63,D$10-SUM(E$17:E63))</f>
        <v>0</v>
      </c>
      <c r="E64" s="510">
        <f t="shared" si="14"/>
        <v>0</v>
      </c>
      <c r="F64" s="511">
        <f t="shared" si="9"/>
        <v>0</v>
      </c>
      <c r="G64" s="524">
        <f t="shared" si="12"/>
        <v>0</v>
      </c>
      <c r="H64" s="478">
        <f t="shared" si="13"/>
        <v>0</v>
      </c>
      <c r="I64" s="501">
        <f t="shared" si="4"/>
        <v>0</v>
      </c>
      <c r="J64" s="501"/>
      <c r="K64" s="513"/>
      <c r="L64" s="505">
        <f t="shared" si="1"/>
        <v>0</v>
      </c>
      <c r="M64" s="513"/>
      <c r="N64" s="505">
        <f t="shared" si="2"/>
        <v>0</v>
      </c>
      <c r="O64" s="505">
        <f t="shared" si="3"/>
        <v>0</v>
      </c>
      <c r="P64" s="279"/>
    </row>
    <row r="65" spans="2:16" ht="12.5">
      <c r="B65" s="145" t="str">
        <f t="shared" si="0"/>
        <v/>
      </c>
      <c r="C65" s="496">
        <f>IF(D11="","-",+C64+1)</f>
        <v>2065</v>
      </c>
      <c r="D65" s="509">
        <f>IF(F64+SUM(E$17:E64)=D$10,F64,D$10-SUM(E$17:E64))</f>
        <v>0</v>
      </c>
      <c r="E65" s="510">
        <f t="shared" si="14"/>
        <v>0</v>
      </c>
      <c r="F65" s="511">
        <f t="shared" si="9"/>
        <v>0</v>
      </c>
      <c r="G65" s="524">
        <f t="shared" si="12"/>
        <v>0</v>
      </c>
      <c r="H65" s="478">
        <f t="shared" si="13"/>
        <v>0</v>
      </c>
      <c r="I65" s="501">
        <f t="shared" si="4"/>
        <v>0</v>
      </c>
      <c r="J65" s="501"/>
      <c r="K65" s="513"/>
      <c r="L65" s="505">
        <f t="shared" si="1"/>
        <v>0</v>
      </c>
      <c r="M65" s="513"/>
      <c r="N65" s="505">
        <f t="shared" si="2"/>
        <v>0</v>
      </c>
      <c r="O65" s="505">
        <f t="shared" si="3"/>
        <v>0</v>
      </c>
      <c r="P65" s="279"/>
    </row>
    <row r="66" spans="2:16" ht="12.5">
      <c r="B66" s="145" t="str">
        <f t="shared" si="0"/>
        <v/>
      </c>
      <c r="C66" s="496">
        <f>IF(D11="","-",+C65+1)</f>
        <v>2066</v>
      </c>
      <c r="D66" s="509">
        <f>IF(F65+SUM(E$17:E65)=D$10,F65,D$10-SUM(E$17:E65))</f>
        <v>0</v>
      </c>
      <c r="E66" s="510">
        <f t="shared" si="14"/>
        <v>0</v>
      </c>
      <c r="F66" s="511">
        <f t="shared" si="9"/>
        <v>0</v>
      </c>
      <c r="G66" s="524">
        <f t="shared" si="12"/>
        <v>0</v>
      </c>
      <c r="H66" s="478">
        <f t="shared" si="13"/>
        <v>0</v>
      </c>
      <c r="I66" s="501">
        <f t="shared" si="4"/>
        <v>0</v>
      </c>
      <c r="J66" s="501"/>
      <c r="K66" s="513"/>
      <c r="L66" s="505">
        <f t="shared" si="1"/>
        <v>0</v>
      </c>
      <c r="M66" s="513"/>
      <c r="N66" s="505">
        <f t="shared" si="2"/>
        <v>0</v>
      </c>
      <c r="O66" s="505">
        <f t="shared" si="3"/>
        <v>0</v>
      </c>
      <c r="P66" s="279"/>
    </row>
    <row r="67" spans="2:16" ht="12.5">
      <c r="B67" s="145" t="str">
        <f t="shared" si="0"/>
        <v/>
      </c>
      <c r="C67" s="496">
        <f>IF(D11="","-",+C66+1)</f>
        <v>2067</v>
      </c>
      <c r="D67" s="509">
        <f>IF(F66+SUM(E$17:E66)=D$10,F66,D$10-SUM(E$17:E66))</f>
        <v>0</v>
      </c>
      <c r="E67" s="510">
        <f t="shared" si="14"/>
        <v>0</v>
      </c>
      <c r="F67" s="511">
        <f t="shared" si="9"/>
        <v>0</v>
      </c>
      <c r="G67" s="524">
        <f t="shared" si="12"/>
        <v>0</v>
      </c>
      <c r="H67" s="478">
        <f t="shared" si="13"/>
        <v>0</v>
      </c>
      <c r="I67" s="501">
        <f t="shared" si="4"/>
        <v>0</v>
      </c>
      <c r="J67" s="501"/>
      <c r="K67" s="513"/>
      <c r="L67" s="505">
        <f t="shared" si="1"/>
        <v>0</v>
      </c>
      <c r="M67" s="513"/>
      <c r="N67" s="505">
        <f t="shared" si="2"/>
        <v>0</v>
      </c>
      <c r="O67" s="505">
        <f t="shared" si="3"/>
        <v>0</v>
      </c>
      <c r="P67" s="279"/>
    </row>
    <row r="68" spans="2:16" ht="12.5">
      <c r="B68" s="145" t="str">
        <f t="shared" si="0"/>
        <v/>
      </c>
      <c r="C68" s="496">
        <f>IF(D11="","-",+C67+1)</f>
        <v>2068</v>
      </c>
      <c r="D68" s="509">
        <f>IF(F67+SUM(E$17:E67)=D$10,F67,D$10-SUM(E$17:E67))</f>
        <v>0</v>
      </c>
      <c r="E68" s="510">
        <f t="shared" si="14"/>
        <v>0</v>
      </c>
      <c r="F68" s="511">
        <f t="shared" si="9"/>
        <v>0</v>
      </c>
      <c r="G68" s="524">
        <f t="shared" si="12"/>
        <v>0</v>
      </c>
      <c r="H68" s="478">
        <f t="shared" si="13"/>
        <v>0</v>
      </c>
      <c r="I68" s="501">
        <f t="shared" si="4"/>
        <v>0</v>
      </c>
      <c r="J68" s="501"/>
      <c r="K68" s="513"/>
      <c r="L68" s="505">
        <f t="shared" si="1"/>
        <v>0</v>
      </c>
      <c r="M68" s="513"/>
      <c r="N68" s="505">
        <f t="shared" si="2"/>
        <v>0</v>
      </c>
      <c r="O68" s="505">
        <f t="shared" si="3"/>
        <v>0</v>
      </c>
      <c r="P68" s="279"/>
    </row>
    <row r="69" spans="2:16" ht="12.5">
      <c r="B69" s="145" t="str">
        <f t="shared" si="0"/>
        <v/>
      </c>
      <c r="C69" s="496">
        <f>IF(D11="","-",+C68+1)</f>
        <v>2069</v>
      </c>
      <c r="D69" s="509">
        <f>IF(F68+SUM(E$17:E68)=D$10,F68,D$10-SUM(E$17:E68))</f>
        <v>0</v>
      </c>
      <c r="E69" s="510">
        <f t="shared" si="14"/>
        <v>0</v>
      </c>
      <c r="F69" s="511">
        <f t="shared" si="9"/>
        <v>0</v>
      </c>
      <c r="G69" s="524">
        <f t="shared" si="12"/>
        <v>0</v>
      </c>
      <c r="H69" s="478">
        <f t="shared" si="13"/>
        <v>0</v>
      </c>
      <c r="I69" s="501">
        <f t="shared" si="4"/>
        <v>0</v>
      </c>
      <c r="J69" s="501"/>
      <c r="K69" s="513"/>
      <c r="L69" s="505">
        <f t="shared" si="1"/>
        <v>0</v>
      </c>
      <c r="M69" s="513"/>
      <c r="N69" s="505">
        <f t="shared" si="2"/>
        <v>0</v>
      </c>
      <c r="O69" s="505">
        <f t="shared" si="3"/>
        <v>0</v>
      </c>
      <c r="P69" s="279"/>
    </row>
    <row r="70" spans="2:16" ht="12.5">
      <c r="B70" s="145" t="str">
        <f t="shared" si="0"/>
        <v/>
      </c>
      <c r="C70" s="496">
        <f>IF(D11="","-",+C69+1)</f>
        <v>2070</v>
      </c>
      <c r="D70" s="509">
        <f>IF(F69+SUM(E$17:E69)=D$10,F69,D$10-SUM(E$17:E69))</f>
        <v>0</v>
      </c>
      <c r="E70" s="510">
        <f t="shared" si="14"/>
        <v>0</v>
      </c>
      <c r="F70" s="511">
        <f t="shared" si="9"/>
        <v>0</v>
      </c>
      <c r="G70" s="524">
        <f t="shared" si="12"/>
        <v>0</v>
      </c>
      <c r="H70" s="478">
        <f t="shared" si="13"/>
        <v>0</v>
      </c>
      <c r="I70" s="501">
        <f t="shared" si="4"/>
        <v>0</v>
      </c>
      <c r="J70" s="501"/>
      <c r="K70" s="513"/>
      <c r="L70" s="505">
        <f t="shared" si="1"/>
        <v>0</v>
      </c>
      <c r="M70" s="513"/>
      <c r="N70" s="505">
        <f t="shared" si="2"/>
        <v>0</v>
      </c>
      <c r="O70" s="505">
        <f t="shared" si="3"/>
        <v>0</v>
      </c>
      <c r="P70" s="279"/>
    </row>
    <row r="71" spans="2:16" ht="12.5">
      <c r="B71" s="145" t="str">
        <f t="shared" si="0"/>
        <v/>
      </c>
      <c r="C71" s="496">
        <f>IF(D11="","-",+C70+1)</f>
        <v>2071</v>
      </c>
      <c r="D71" s="509">
        <f>IF(F70+SUM(E$17:E70)=D$10,F70,D$10-SUM(E$17:E70))</f>
        <v>0</v>
      </c>
      <c r="E71" s="510">
        <f t="shared" si="14"/>
        <v>0</v>
      </c>
      <c r="F71" s="511">
        <f t="shared" si="9"/>
        <v>0</v>
      </c>
      <c r="G71" s="524">
        <f t="shared" si="12"/>
        <v>0</v>
      </c>
      <c r="H71" s="478">
        <f t="shared" si="13"/>
        <v>0</v>
      </c>
      <c r="I71" s="501">
        <f t="shared" si="4"/>
        <v>0</v>
      </c>
      <c r="J71" s="501"/>
      <c r="K71" s="513"/>
      <c r="L71" s="505">
        <f t="shared" si="1"/>
        <v>0</v>
      </c>
      <c r="M71" s="513"/>
      <c r="N71" s="505">
        <f t="shared" si="2"/>
        <v>0</v>
      </c>
      <c r="O71" s="505">
        <f t="shared" si="3"/>
        <v>0</v>
      </c>
      <c r="P71" s="279"/>
    </row>
    <row r="72" spans="2:16" ht="12.5">
      <c r="C72" s="496">
        <f>IF(D12="","-",+C71+1)</f>
        <v>2072</v>
      </c>
      <c r="D72" s="509">
        <f>IF(F71+SUM(E$17:E71)=D$10,F71,D$10-SUM(E$17:E71))</f>
        <v>0</v>
      </c>
      <c r="E72" s="510">
        <f>IF(+I$14&lt;F71,I$14,D72)</f>
        <v>0</v>
      </c>
      <c r="F72" s="511">
        <f>+D72-E72</f>
        <v>0</v>
      </c>
      <c r="G72" s="524">
        <f>(D72+F72)/2*I$12+E72</f>
        <v>0</v>
      </c>
      <c r="H72" s="478">
        <f>+(D72+F72)/2*I$13+E72</f>
        <v>0</v>
      </c>
      <c r="I72" s="501">
        <f>H72-G72</f>
        <v>0</v>
      </c>
      <c r="J72" s="501"/>
      <c r="K72" s="513"/>
      <c r="L72" s="505">
        <f>IF(K72&lt;&gt;0,+G72-K72,0)</f>
        <v>0</v>
      </c>
      <c r="M72" s="513"/>
      <c r="N72" s="505">
        <f>IF(M72&lt;&gt;0,+H72-M72,0)</f>
        <v>0</v>
      </c>
      <c r="O72" s="505">
        <f>+N72-L72</f>
        <v>0</v>
      </c>
      <c r="P72" s="279"/>
    </row>
    <row r="73" spans="2:16" ht="13" thickBot="1">
      <c r="B73" s="145" t="str">
        <f>IF(D73=F71,"","IU")</f>
        <v/>
      </c>
      <c r="C73" s="525">
        <f>IF(D13="","-",+C72+1)</f>
        <v>2073</v>
      </c>
      <c r="D73" s="509">
        <f>IF(F72+SUM(E$17:E72)=D$10,F72,D$10-SUM(E$17:E72))</f>
        <v>0</v>
      </c>
      <c r="E73" s="527">
        <f>IF(+I$14&lt;F72,I$14,D73)</f>
        <v>0</v>
      </c>
      <c r="F73" s="528">
        <f>+D73-E73</f>
        <v>0</v>
      </c>
      <c r="G73" s="529">
        <f>(D73+F73)/2*I$12+E73</f>
        <v>0</v>
      </c>
      <c r="H73" s="459">
        <f>+(D73+F73)/2*I$13+E73</f>
        <v>0</v>
      </c>
      <c r="I73" s="530">
        <f>H73-G73</f>
        <v>0</v>
      </c>
      <c r="J73" s="501"/>
      <c r="K73" s="531"/>
      <c r="L73" s="532">
        <f>IF(K73&lt;&gt;0,+G73-K73,0)</f>
        <v>0</v>
      </c>
      <c r="M73" s="531"/>
      <c r="N73" s="532">
        <f>IF(M73&lt;&gt;0,+H73-M73,0)</f>
        <v>0</v>
      </c>
      <c r="O73" s="532">
        <f>+N73-L73</f>
        <v>0</v>
      </c>
      <c r="P73" s="279"/>
    </row>
    <row r="74" spans="2:16" ht="12.5">
      <c r="C74" s="350" t="s">
        <v>75</v>
      </c>
      <c r="D74" s="295"/>
      <c r="E74" s="295">
        <f>SUM(E17:E73)</f>
        <v>9657269.9999999981</v>
      </c>
      <c r="F74" s="295"/>
      <c r="G74" s="295">
        <f>SUM(G17:G73)</f>
        <v>32575523.738303788</v>
      </c>
      <c r="H74" s="295">
        <f>SUM(H17:H73)</f>
        <v>32575523.738303788</v>
      </c>
      <c r="I74" s="295">
        <f>SUM(I17:I73)</f>
        <v>0</v>
      </c>
      <c r="J74" s="295"/>
      <c r="K74" s="295"/>
      <c r="L74" s="295"/>
      <c r="M74" s="295"/>
      <c r="N74" s="295"/>
      <c r="O74" s="279"/>
      <c r="P74" s="279"/>
    </row>
    <row r="75" spans="2:16" ht="12.5">
      <c r="D75" s="293"/>
      <c r="E75" s="244"/>
      <c r="F75" s="244"/>
      <c r="G75" s="244"/>
      <c r="H75" s="326"/>
      <c r="I75" s="326"/>
      <c r="J75" s="295"/>
      <c r="K75" s="326"/>
      <c r="L75" s="326"/>
      <c r="M75" s="326"/>
      <c r="N75" s="326"/>
      <c r="O75" s="244"/>
      <c r="P75" s="244"/>
    </row>
    <row r="76" spans="2:16" ht="13">
      <c r="C76" s="533" t="s">
        <v>95</v>
      </c>
      <c r="D76" s="293"/>
      <c r="E76" s="244"/>
      <c r="F76" s="244"/>
      <c r="G76" s="244"/>
      <c r="H76" s="326"/>
      <c r="I76" s="326"/>
      <c r="J76" s="295"/>
      <c r="K76" s="326"/>
      <c r="L76" s="326"/>
      <c r="M76" s="326"/>
      <c r="N76" s="326"/>
      <c r="O76" s="244"/>
      <c r="P76" s="244"/>
    </row>
    <row r="77" spans="2:16" ht="13">
      <c r="C77" s="455" t="s">
        <v>76</v>
      </c>
      <c r="D77" s="293"/>
      <c r="E77" s="244"/>
      <c r="F77" s="244"/>
      <c r="G77" s="244"/>
      <c r="H77" s="326"/>
      <c r="I77" s="326"/>
      <c r="J77" s="295"/>
      <c r="K77" s="326"/>
      <c r="L77" s="326"/>
      <c r="M77" s="326"/>
      <c r="N77" s="326"/>
      <c r="O77" s="279"/>
      <c r="P77" s="279"/>
    </row>
    <row r="78" spans="2:16" ht="13">
      <c r="C78" s="455" t="s">
        <v>77</v>
      </c>
      <c r="D78" s="350"/>
      <c r="E78" s="350"/>
      <c r="F78" s="350"/>
      <c r="G78" s="295"/>
      <c r="H78" s="295"/>
      <c r="I78" s="351"/>
      <c r="J78" s="351"/>
      <c r="K78" s="351"/>
      <c r="L78" s="351"/>
      <c r="M78" s="351"/>
      <c r="N78" s="351"/>
      <c r="O78" s="279"/>
      <c r="P78" s="279"/>
    </row>
    <row r="79" spans="2:16" ht="13">
      <c r="C79" s="455"/>
      <c r="D79" s="350"/>
      <c r="E79" s="350"/>
      <c r="F79" s="350"/>
      <c r="G79" s="295"/>
      <c r="H79" s="295"/>
      <c r="I79" s="351"/>
      <c r="J79" s="351"/>
      <c r="K79" s="351"/>
      <c r="L79" s="351"/>
      <c r="M79" s="351"/>
      <c r="N79" s="351"/>
      <c r="O79" s="279"/>
      <c r="P79" s="244"/>
    </row>
    <row r="80" spans="2:16" ht="12.5">
      <c r="B80" s="244"/>
      <c r="C80" s="249"/>
      <c r="D80" s="293"/>
      <c r="E80" s="244"/>
      <c r="F80" s="348"/>
      <c r="G80" s="244"/>
      <c r="H80" s="326"/>
      <c r="I80" s="244"/>
      <c r="J80" s="279"/>
      <c r="K80" s="244"/>
      <c r="L80" s="244"/>
      <c r="M80" s="244"/>
      <c r="N80" s="244"/>
      <c r="O80" s="244"/>
      <c r="P80" s="244"/>
    </row>
    <row r="81" spans="1:16" ht="17.5">
      <c r="B81" s="244"/>
      <c r="C81" s="536"/>
      <c r="D81" s="293"/>
      <c r="E81" s="244"/>
      <c r="F81" s="348"/>
      <c r="G81" s="244"/>
      <c r="H81" s="326"/>
      <c r="I81" s="244"/>
      <c r="J81" s="279"/>
      <c r="K81" s="244"/>
      <c r="L81" s="244"/>
      <c r="M81" s="244"/>
      <c r="N81" s="244"/>
      <c r="P81" s="537" t="s">
        <v>128</v>
      </c>
    </row>
    <row r="82" spans="1:16" ht="12.5">
      <c r="B82" s="244"/>
      <c r="C82" s="249"/>
      <c r="D82" s="293"/>
      <c r="E82" s="244"/>
      <c r="F82" s="348"/>
      <c r="G82" s="244"/>
      <c r="H82" s="326"/>
      <c r="I82" s="244"/>
      <c r="J82" s="279"/>
      <c r="K82" s="244"/>
      <c r="L82" s="244"/>
      <c r="M82" s="244"/>
      <c r="N82" s="244"/>
      <c r="O82" s="244"/>
      <c r="P82" s="244"/>
    </row>
    <row r="83" spans="1:16" ht="12.5">
      <c r="B83" s="244"/>
      <c r="C83" s="249"/>
      <c r="D83" s="293"/>
      <c r="E83" s="244"/>
      <c r="F83" s="348"/>
      <c r="G83" s="244"/>
      <c r="H83" s="326"/>
      <c r="I83" s="244"/>
      <c r="J83" s="279"/>
      <c r="K83" s="244"/>
      <c r="L83" s="244"/>
      <c r="M83" s="244"/>
      <c r="N83" s="244"/>
      <c r="O83" s="244"/>
      <c r="P83" s="244"/>
    </row>
    <row r="84" spans="1:16" ht="20">
      <c r="A84" s="438" t="s">
        <v>190</v>
      </c>
      <c r="B84" s="244"/>
      <c r="C84" s="249"/>
      <c r="D84" s="293"/>
      <c r="E84" s="244"/>
      <c r="F84" s="340"/>
      <c r="G84" s="340"/>
      <c r="H84" s="244"/>
      <c r="I84" s="326"/>
      <c r="K84" s="221"/>
      <c r="L84" s="439"/>
      <c r="M84" s="439"/>
      <c r="P84" s="439" t="str">
        <f ca="1">P1</f>
        <v>OKT Project 16 of 19</v>
      </c>
    </row>
    <row r="85" spans="1:16" ht="17.5">
      <c r="B85" s="244"/>
      <c r="C85" s="244"/>
      <c r="D85" s="293"/>
      <c r="E85" s="244"/>
      <c r="F85" s="244"/>
      <c r="G85" s="244"/>
      <c r="H85" s="244"/>
      <c r="I85" s="326"/>
      <c r="J85" s="244"/>
      <c r="K85" s="279"/>
      <c r="L85" s="244"/>
      <c r="M85" s="244"/>
      <c r="P85" s="442" t="s">
        <v>132</v>
      </c>
    </row>
    <row r="86" spans="1:16" ht="17.5" thickBot="1">
      <c r="B86" s="234" t="s">
        <v>42</v>
      </c>
      <c r="C86" s="538" t="s">
        <v>81</v>
      </c>
      <c r="D86" s="293"/>
      <c r="E86" s="244"/>
      <c r="F86" s="244"/>
      <c r="G86" s="244"/>
      <c r="H86" s="244"/>
      <c r="I86" s="326"/>
      <c r="J86" s="326"/>
      <c r="K86" s="295"/>
      <c r="L86" s="326"/>
      <c r="M86" s="326"/>
      <c r="N86" s="326"/>
      <c r="O86" s="295"/>
      <c r="P86" s="244"/>
    </row>
    <row r="87" spans="1:16" ht="16" thickBot="1">
      <c r="C87" s="305"/>
      <c r="D87" s="293"/>
      <c r="E87" s="244"/>
      <c r="F87" s="244"/>
      <c r="G87" s="244"/>
      <c r="H87" s="244"/>
      <c r="I87" s="326"/>
      <c r="J87" s="326"/>
      <c r="K87" s="295"/>
      <c r="L87" s="539">
        <f>+J93</f>
        <v>2019</v>
      </c>
      <c r="M87" s="540" t="s">
        <v>9</v>
      </c>
      <c r="N87" s="541" t="s">
        <v>134</v>
      </c>
      <c r="O87" s="542" t="s">
        <v>11</v>
      </c>
      <c r="P87" s="244"/>
    </row>
    <row r="88" spans="1:16" ht="15.5">
      <c r="C88" s="233" t="s">
        <v>44</v>
      </c>
      <c r="D88" s="293"/>
      <c r="E88" s="244"/>
      <c r="F88" s="244"/>
      <c r="G88" s="244"/>
      <c r="H88" s="445"/>
      <c r="I88" s="244" t="s">
        <v>45</v>
      </c>
      <c r="J88" s="244"/>
      <c r="K88" s="543"/>
      <c r="L88" s="544" t="s">
        <v>253</v>
      </c>
      <c r="M88" s="545">
        <f>IF(J93&lt;D11,0,VLOOKUP(J93,C17:O73,9))</f>
        <v>1144883.2286713799</v>
      </c>
      <c r="N88" s="545">
        <f>IF(J93&lt;D11,0,VLOOKUP(J93,C17:O73,11))</f>
        <v>1144883.2286713799</v>
      </c>
      <c r="O88" s="546">
        <f>+N88-M88</f>
        <v>0</v>
      </c>
      <c r="P88" s="244"/>
    </row>
    <row r="89" spans="1:16" ht="15.5">
      <c r="C89" s="236"/>
      <c r="D89" s="293"/>
      <c r="E89" s="244"/>
      <c r="F89" s="244"/>
      <c r="G89" s="244"/>
      <c r="H89" s="244"/>
      <c r="I89" s="450"/>
      <c r="J89" s="450"/>
      <c r="K89" s="547"/>
      <c r="L89" s="548" t="s">
        <v>254</v>
      </c>
      <c r="M89" s="549">
        <f>IF(J93&lt;D11,0,VLOOKUP(J93,C100:P155,6))</f>
        <v>1271190.9493493373</v>
      </c>
      <c r="N89" s="549">
        <f>IF(J93&lt;D11,0,VLOOKUP(J93,C100:P155,7))</f>
        <v>1271190.9493493373</v>
      </c>
      <c r="O89" s="550">
        <f>+N89-M89</f>
        <v>0</v>
      </c>
      <c r="P89" s="244"/>
    </row>
    <row r="90" spans="1:16" ht="13.5" thickBot="1">
      <c r="C90" s="455" t="s">
        <v>82</v>
      </c>
      <c r="D90" s="551" t="str">
        <f>+D7</f>
        <v>Carnegie South-Southwestern 123 kv line rebuild</v>
      </c>
      <c r="E90" s="244"/>
      <c r="F90" s="244"/>
      <c r="G90" s="244"/>
      <c r="H90" s="244"/>
      <c r="I90" s="326"/>
      <c r="J90" s="326"/>
      <c r="K90" s="552"/>
      <c r="L90" s="553" t="s">
        <v>135</v>
      </c>
      <c r="M90" s="554">
        <f>+M89-M88</f>
        <v>126307.7206779574</v>
      </c>
      <c r="N90" s="554">
        <f>+N89-N88</f>
        <v>126307.7206779574</v>
      </c>
      <c r="O90" s="555">
        <f>+O89-O88</f>
        <v>0</v>
      </c>
      <c r="P90" s="244"/>
    </row>
    <row r="91" spans="1:16" ht="13.5" thickBot="1">
      <c r="C91" s="533"/>
      <c r="D91" s="556" t="str">
        <f>IF(D8="","",D8)</f>
        <v/>
      </c>
      <c r="E91" s="348"/>
      <c r="F91" s="348"/>
      <c r="G91" s="348"/>
      <c r="H91" s="462"/>
      <c r="I91" s="326"/>
      <c r="J91" s="326"/>
      <c r="K91" s="295"/>
      <c r="L91" s="326"/>
      <c r="M91" s="326"/>
      <c r="N91" s="326"/>
      <c r="O91" s="295"/>
      <c r="P91" s="244"/>
    </row>
    <row r="92" spans="1:16" ht="13.5" thickBot="1">
      <c r="A92" s="152"/>
      <c r="C92" s="557" t="s">
        <v>83</v>
      </c>
      <c r="D92" s="558" t="str">
        <f>+D9</f>
        <v>TP 2014207</v>
      </c>
      <c r="E92" s="559"/>
      <c r="F92" s="559"/>
      <c r="G92" s="559"/>
      <c r="H92" s="559"/>
      <c r="I92" s="559"/>
      <c r="J92" s="559"/>
      <c r="K92" s="561"/>
      <c r="P92" s="469"/>
    </row>
    <row r="93" spans="1:16" ht="13">
      <c r="C93" s="473" t="s">
        <v>49</v>
      </c>
      <c r="D93" s="471">
        <v>9589270</v>
      </c>
      <c r="E93" s="249" t="s">
        <v>84</v>
      </c>
      <c r="H93" s="409"/>
      <c r="I93" s="409"/>
      <c r="J93" s="472">
        <f>+'OKT.WS.G.BPU.ATRR.True-up'!M16</f>
        <v>2019</v>
      </c>
      <c r="K93" s="468"/>
      <c r="L93" s="295" t="s">
        <v>85</v>
      </c>
      <c r="P93" s="279"/>
    </row>
    <row r="94" spans="1:16" ht="12.5">
      <c r="C94" s="473" t="s">
        <v>52</v>
      </c>
      <c r="D94" s="474">
        <f>IF(D11=I10,"",D11)</f>
        <v>2017</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row>
    <row r="95" spans="1:16" ht="12.5">
      <c r="C95" s="473" t="s">
        <v>54</v>
      </c>
      <c r="D95" s="471">
        <f>IF(D11=I10,"",D12)</f>
        <v>7</v>
      </c>
      <c r="E95" s="473" t="s">
        <v>55</v>
      </c>
      <c r="F95" s="409"/>
      <c r="G95" s="409"/>
      <c r="J95" s="477">
        <f>'OKT.WS.G.BPU.ATRR.True-up'!$F$81</f>
        <v>0.10800922592579221</v>
      </c>
      <c r="K95" s="414"/>
      <c r="L95" s="145" t="s">
        <v>86</v>
      </c>
      <c r="P95" s="279"/>
    </row>
    <row r="96" spans="1:16" ht="12.5">
      <c r="C96" s="473" t="s">
        <v>57</v>
      </c>
      <c r="D96" s="475">
        <f>'OKT.WS.G.BPU.ATRR.True-up'!F$93</f>
        <v>33</v>
      </c>
      <c r="E96" s="473" t="s">
        <v>58</v>
      </c>
      <c r="F96" s="409"/>
      <c r="G96" s="409"/>
      <c r="J96" s="477">
        <f>IF(H88="",J95,'OKT.WS.G.BPU.ATRR.True-up'!$F$80)</f>
        <v>0.10800922592579221</v>
      </c>
      <c r="K96" s="292"/>
      <c r="L96" s="295" t="s">
        <v>59</v>
      </c>
      <c r="M96" s="292"/>
      <c r="N96" s="292"/>
      <c r="O96" s="292"/>
      <c r="P96" s="279"/>
    </row>
    <row r="97" spans="1:16" ht="13" thickBot="1">
      <c r="C97" s="473" t="s">
        <v>60</v>
      </c>
      <c r="D97" s="474" t="str">
        <f>+D14</f>
        <v>No</v>
      </c>
      <c r="E97" s="564" t="s">
        <v>62</v>
      </c>
      <c r="F97" s="565"/>
      <c r="G97" s="565"/>
      <c r="H97" s="566"/>
      <c r="I97" s="566"/>
      <c r="J97" s="459">
        <f>IF(D93=0,0,D93/D96)</f>
        <v>290583.93939393939</v>
      </c>
      <c r="K97" s="295"/>
      <c r="L97" s="295"/>
      <c r="M97" s="295"/>
      <c r="N97" s="295"/>
      <c r="O97" s="295"/>
      <c r="P97" s="279"/>
    </row>
    <row r="98" spans="1:16"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row>
    <row r="99" spans="1:16" ht="13.5" thickBot="1">
      <c r="C99" s="487" t="s">
        <v>68</v>
      </c>
      <c r="D99" s="570" t="s">
        <v>69</v>
      </c>
      <c r="E99" s="487" t="s">
        <v>70</v>
      </c>
      <c r="F99" s="487" t="s">
        <v>69</v>
      </c>
      <c r="G99" s="487" t="s">
        <v>69</v>
      </c>
      <c r="H99" s="494" t="s">
        <v>71</v>
      </c>
      <c r="I99" s="490" t="s">
        <v>72</v>
      </c>
      <c r="J99" s="491" t="s">
        <v>93</v>
      </c>
      <c r="K99" s="492"/>
      <c r="L99" s="493" t="s">
        <v>74</v>
      </c>
      <c r="M99" s="493" t="s">
        <v>74</v>
      </c>
      <c r="N99" s="493" t="s">
        <v>94</v>
      </c>
      <c r="O99" s="493" t="s">
        <v>94</v>
      </c>
      <c r="P99" s="493" t="s">
        <v>94</v>
      </c>
    </row>
    <row r="100" spans="1:16" ht="12.5">
      <c r="B100" s="145" t="str">
        <f t="shared" ref="B100:B155" si="15">IF(D100=F99,"","IU")</f>
        <v>IU</v>
      </c>
      <c r="C100" s="496">
        <f>IF(D94= "","-",D94)</f>
        <v>2017</v>
      </c>
      <c r="D100" s="497">
        <v>0</v>
      </c>
      <c r="E100" s="499">
        <v>99561.5625</v>
      </c>
      <c r="F100" s="506">
        <v>9458348.4375</v>
      </c>
      <c r="G100" s="506">
        <v>4729174.21875</v>
      </c>
      <c r="H100" s="499">
        <v>654463.30646394705</v>
      </c>
      <c r="I100" s="500">
        <v>654463.30646394705</v>
      </c>
      <c r="J100" s="505">
        <f t="shared" ref="J100:J131" si="16">+I100-H100</f>
        <v>0</v>
      </c>
      <c r="K100" s="505"/>
      <c r="L100" s="507">
        <f>+H100</f>
        <v>654463.30646394705</v>
      </c>
      <c r="M100" s="505">
        <f t="shared" ref="M100:M131" si="17">IF(L100&lt;&gt;0,+H100-L100,0)</f>
        <v>0</v>
      </c>
      <c r="N100" s="507">
        <f>+I100</f>
        <v>654463.30646394705</v>
      </c>
      <c r="O100" s="587">
        <f t="shared" ref="O100:O131" si="18">IF(N100&lt;&gt;0,+I100-N100,0)</f>
        <v>0</v>
      </c>
      <c r="P100" s="505">
        <f t="shared" ref="P100:P131" si="19">+O100-M100</f>
        <v>0</v>
      </c>
    </row>
    <row r="101" spans="1:16" ht="12.5">
      <c r="B101" s="145" t="str">
        <f t="shared" si="15"/>
        <v/>
      </c>
      <c r="C101" s="496">
        <f>IF(D94="","-",+C100+1)</f>
        <v>2018</v>
      </c>
      <c r="D101" s="497">
        <v>9458348.4375</v>
      </c>
      <c r="E101" s="499">
        <v>265497.5</v>
      </c>
      <c r="F101" s="506">
        <v>9192850.9375</v>
      </c>
      <c r="G101" s="506">
        <v>9325599.6875</v>
      </c>
      <c r="H101" s="499">
        <v>1249930.642330141</v>
      </c>
      <c r="I101" s="500">
        <v>1249930.642330141</v>
      </c>
      <c r="J101" s="505">
        <f t="shared" si="16"/>
        <v>0</v>
      </c>
      <c r="K101" s="505"/>
      <c r="L101" s="507">
        <f>H101</f>
        <v>1249930.642330141</v>
      </c>
      <c r="M101" s="505">
        <f>IF(L101&lt;&gt;0,+H101-L101,0)</f>
        <v>0</v>
      </c>
      <c r="N101" s="507">
        <f>I101</f>
        <v>1249930.642330141</v>
      </c>
      <c r="O101" s="505">
        <f>IF(N101&lt;&gt;0,+I101-N101,0)</f>
        <v>0</v>
      </c>
      <c r="P101" s="505">
        <f>+O101-M101</f>
        <v>0</v>
      </c>
    </row>
    <row r="102" spans="1:16" ht="12.5">
      <c r="B102" s="145" t="str">
        <f t="shared" si="15"/>
        <v>IU</v>
      </c>
      <c r="C102" s="496">
        <f>IF(D94="","-",+C101+1)</f>
        <v>2019</v>
      </c>
      <c r="D102" s="350">
        <f>IF(F101+SUM(E$100:E101)=D$93,F101,D$93-SUM(E$100:E101))</f>
        <v>9224210.9375</v>
      </c>
      <c r="E102" s="510">
        <f t="shared" ref="E102:E132" si="20">IF(+J$97&lt;F101,J$97,D102)</f>
        <v>290583.93939393939</v>
      </c>
      <c r="F102" s="511">
        <f t="shared" ref="F102:F131" si="21">+D102-E102</f>
        <v>8933626.9981060605</v>
      </c>
      <c r="G102" s="511">
        <f t="shared" ref="G102:G131" si="22">+(F102+D102)/2</f>
        <v>9078918.9678030312</v>
      </c>
      <c r="H102" s="628">
        <f t="shared" ref="H102:H155" si="23">+J$95*G102+E102</f>
        <v>1271190.9493493373</v>
      </c>
      <c r="I102" s="629">
        <f t="shared" ref="I102:I155" si="24">+J$96*G102+E102</f>
        <v>1271190.9493493373</v>
      </c>
      <c r="J102" s="505">
        <f t="shared" si="16"/>
        <v>0</v>
      </c>
      <c r="K102" s="505"/>
      <c r="L102" s="513"/>
      <c r="M102" s="505">
        <f t="shared" si="17"/>
        <v>0</v>
      </c>
      <c r="N102" s="513"/>
      <c r="O102" s="505">
        <f t="shared" si="18"/>
        <v>0</v>
      </c>
      <c r="P102" s="505">
        <f t="shared" si="19"/>
        <v>0</v>
      </c>
    </row>
    <row r="103" spans="1:16" ht="12.5">
      <c r="B103" s="145" t="str">
        <f t="shared" si="15"/>
        <v/>
      </c>
      <c r="C103" s="496">
        <f>IF(D94="","-",+C102+1)</f>
        <v>2020</v>
      </c>
      <c r="D103" s="350">
        <f>IF(F102+SUM(E$100:E102)=D$93,F102,D$93-SUM(E$100:E102))</f>
        <v>8933626.9981060605</v>
      </c>
      <c r="E103" s="510">
        <f t="shared" si="20"/>
        <v>290583.93939393939</v>
      </c>
      <c r="F103" s="511">
        <f t="shared" si="21"/>
        <v>8643043.0587121211</v>
      </c>
      <c r="G103" s="511">
        <f t="shared" si="22"/>
        <v>8788335.0284090899</v>
      </c>
      <c r="H103" s="628">
        <f t="shared" si="23"/>
        <v>1239805.2029889303</v>
      </c>
      <c r="I103" s="629">
        <f t="shared" si="24"/>
        <v>1239805.2029889303</v>
      </c>
      <c r="J103" s="505">
        <f t="shared" si="16"/>
        <v>0</v>
      </c>
      <c r="K103" s="505"/>
      <c r="L103" s="513"/>
      <c r="M103" s="505">
        <f t="shared" si="17"/>
        <v>0</v>
      </c>
      <c r="N103" s="513"/>
      <c r="O103" s="505">
        <f t="shared" si="18"/>
        <v>0</v>
      </c>
      <c r="P103" s="505">
        <f t="shared" si="19"/>
        <v>0</v>
      </c>
    </row>
    <row r="104" spans="1:16" ht="12.5">
      <c r="B104" s="145" t="str">
        <f t="shared" si="15"/>
        <v/>
      </c>
      <c r="C104" s="496">
        <f>IF(D94="","-",+C103+1)</f>
        <v>2021</v>
      </c>
      <c r="D104" s="350">
        <f>IF(F103+SUM(E$100:E103)=D$93,F103,D$93-SUM(E$100:E103))</f>
        <v>8643043.0587121211</v>
      </c>
      <c r="E104" s="510">
        <f t="shared" si="20"/>
        <v>290583.93939393939</v>
      </c>
      <c r="F104" s="511">
        <f t="shared" si="21"/>
        <v>8352459.1193181816</v>
      </c>
      <c r="G104" s="511">
        <f t="shared" si="22"/>
        <v>8497751.0890151523</v>
      </c>
      <c r="H104" s="628">
        <f t="shared" si="23"/>
        <v>1208419.4566285238</v>
      </c>
      <c r="I104" s="629">
        <f t="shared" si="24"/>
        <v>1208419.4566285238</v>
      </c>
      <c r="J104" s="505">
        <f t="shared" si="16"/>
        <v>0</v>
      </c>
      <c r="K104" s="505"/>
      <c r="L104" s="513"/>
      <c r="M104" s="505">
        <f t="shared" si="17"/>
        <v>0</v>
      </c>
      <c r="N104" s="513"/>
      <c r="O104" s="505">
        <f t="shared" si="18"/>
        <v>0</v>
      </c>
      <c r="P104" s="505">
        <f t="shared" si="19"/>
        <v>0</v>
      </c>
    </row>
    <row r="105" spans="1:16" ht="12.5">
      <c r="B105" s="145" t="str">
        <f t="shared" si="15"/>
        <v/>
      </c>
      <c r="C105" s="496">
        <f>IF(D94="","-",+C104+1)</f>
        <v>2022</v>
      </c>
      <c r="D105" s="350">
        <f>IF(F104+SUM(E$100:E104)=D$93,F104,D$93-SUM(E$100:E104))</f>
        <v>8352459.1193181816</v>
      </c>
      <c r="E105" s="510">
        <f t="shared" si="20"/>
        <v>290583.93939393939</v>
      </c>
      <c r="F105" s="511">
        <f t="shared" si="21"/>
        <v>8061875.1799242422</v>
      </c>
      <c r="G105" s="511">
        <f t="shared" si="22"/>
        <v>8207167.1496212119</v>
      </c>
      <c r="H105" s="628">
        <f t="shared" si="23"/>
        <v>1177033.710268117</v>
      </c>
      <c r="I105" s="629">
        <f t="shared" si="24"/>
        <v>1177033.710268117</v>
      </c>
      <c r="J105" s="505">
        <f t="shared" si="16"/>
        <v>0</v>
      </c>
      <c r="K105" s="505"/>
      <c r="L105" s="513"/>
      <c r="M105" s="505">
        <f t="shared" si="17"/>
        <v>0</v>
      </c>
      <c r="N105" s="513"/>
      <c r="O105" s="505">
        <f t="shared" si="18"/>
        <v>0</v>
      </c>
      <c r="P105" s="505">
        <f t="shared" si="19"/>
        <v>0</v>
      </c>
    </row>
    <row r="106" spans="1:16" ht="12.5">
      <c r="B106" s="145" t="str">
        <f t="shared" si="15"/>
        <v/>
      </c>
      <c r="C106" s="496">
        <f>IF(D94="","-",+C105+1)</f>
        <v>2023</v>
      </c>
      <c r="D106" s="350">
        <f>IF(F105+SUM(E$100:E105)=D$93,F105,D$93-SUM(E$100:E105))</f>
        <v>8061875.1799242422</v>
      </c>
      <c r="E106" s="510">
        <f t="shared" si="20"/>
        <v>290583.93939393939</v>
      </c>
      <c r="F106" s="511">
        <f t="shared" si="21"/>
        <v>7771291.2405303027</v>
      </c>
      <c r="G106" s="511">
        <f t="shared" si="22"/>
        <v>7916583.2102272725</v>
      </c>
      <c r="H106" s="628">
        <f t="shared" si="23"/>
        <v>1145647.9639077103</v>
      </c>
      <c r="I106" s="629">
        <f t="shared" si="24"/>
        <v>1145647.9639077103</v>
      </c>
      <c r="J106" s="505">
        <f t="shared" si="16"/>
        <v>0</v>
      </c>
      <c r="K106" s="505"/>
      <c r="L106" s="513"/>
      <c r="M106" s="505">
        <f t="shared" si="17"/>
        <v>0</v>
      </c>
      <c r="N106" s="513"/>
      <c r="O106" s="505">
        <f t="shared" si="18"/>
        <v>0</v>
      </c>
      <c r="P106" s="505">
        <f t="shared" si="19"/>
        <v>0</v>
      </c>
    </row>
    <row r="107" spans="1:16" ht="12.5">
      <c r="B107" s="145" t="str">
        <f t="shared" si="15"/>
        <v/>
      </c>
      <c r="C107" s="496">
        <f>IF(D94="","-",+C106+1)</f>
        <v>2024</v>
      </c>
      <c r="D107" s="350">
        <f>IF(F106+SUM(E$100:E106)=D$93,F106,D$93-SUM(E$100:E106))</f>
        <v>7771291.2405303027</v>
      </c>
      <c r="E107" s="510">
        <f t="shared" si="20"/>
        <v>290583.93939393939</v>
      </c>
      <c r="F107" s="511">
        <f t="shared" si="21"/>
        <v>7480707.3011363633</v>
      </c>
      <c r="G107" s="511">
        <f t="shared" si="22"/>
        <v>7625999.270833333</v>
      </c>
      <c r="H107" s="628">
        <f t="shared" si="23"/>
        <v>1114262.2175473035</v>
      </c>
      <c r="I107" s="629">
        <f t="shared" si="24"/>
        <v>1114262.2175473035</v>
      </c>
      <c r="J107" s="505">
        <f t="shared" si="16"/>
        <v>0</v>
      </c>
      <c r="K107" s="505"/>
      <c r="L107" s="513"/>
      <c r="M107" s="505">
        <f t="shared" si="17"/>
        <v>0</v>
      </c>
      <c r="N107" s="513"/>
      <c r="O107" s="505">
        <f t="shared" si="18"/>
        <v>0</v>
      </c>
      <c r="P107" s="505">
        <f t="shared" si="19"/>
        <v>0</v>
      </c>
    </row>
    <row r="108" spans="1:16" ht="12.5">
      <c r="B108" s="145" t="str">
        <f t="shared" si="15"/>
        <v/>
      </c>
      <c r="C108" s="496">
        <f>IF(D94="","-",+C107+1)</f>
        <v>2025</v>
      </c>
      <c r="D108" s="350">
        <f>IF(F107+SUM(E$100:E107)=D$93,F107,D$93-SUM(E$100:E107))</f>
        <v>7480707.3011363633</v>
      </c>
      <c r="E108" s="510">
        <f t="shared" si="20"/>
        <v>290583.93939393939</v>
      </c>
      <c r="F108" s="511">
        <f t="shared" si="21"/>
        <v>7190123.3617424238</v>
      </c>
      <c r="G108" s="511">
        <f t="shared" si="22"/>
        <v>7335415.3314393936</v>
      </c>
      <c r="H108" s="628">
        <f t="shared" si="23"/>
        <v>1082876.4711868968</v>
      </c>
      <c r="I108" s="629">
        <f t="shared" si="24"/>
        <v>1082876.4711868968</v>
      </c>
      <c r="J108" s="505">
        <f t="shared" si="16"/>
        <v>0</v>
      </c>
      <c r="K108" s="505"/>
      <c r="L108" s="513"/>
      <c r="M108" s="505">
        <f t="shared" si="17"/>
        <v>0</v>
      </c>
      <c r="N108" s="513"/>
      <c r="O108" s="505">
        <f t="shared" si="18"/>
        <v>0</v>
      </c>
      <c r="P108" s="505">
        <f t="shared" si="19"/>
        <v>0</v>
      </c>
    </row>
    <row r="109" spans="1:16" ht="12.5">
      <c r="B109" s="145" t="str">
        <f t="shared" si="15"/>
        <v/>
      </c>
      <c r="C109" s="496">
        <f>IF(D94="","-",+C108+1)</f>
        <v>2026</v>
      </c>
      <c r="D109" s="350">
        <f>IF(F108+SUM(E$100:E108)=D$93,F108,D$93-SUM(E$100:E108))</f>
        <v>7190123.3617424238</v>
      </c>
      <c r="E109" s="510">
        <f t="shared" si="20"/>
        <v>290583.93939393939</v>
      </c>
      <c r="F109" s="511">
        <f t="shared" si="21"/>
        <v>6899539.4223484844</v>
      </c>
      <c r="G109" s="511">
        <f t="shared" si="22"/>
        <v>7044831.3920454541</v>
      </c>
      <c r="H109" s="628">
        <f t="shared" si="23"/>
        <v>1051490.72482649</v>
      </c>
      <c r="I109" s="629">
        <f t="shared" si="24"/>
        <v>1051490.72482649</v>
      </c>
      <c r="J109" s="505">
        <f t="shared" si="16"/>
        <v>0</v>
      </c>
      <c r="K109" s="505"/>
      <c r="L109" s="513"/>
      <c r="M109" s="505">
        <f t="shared" si="17"/>
        <v>0</v>
      </c>
      <c r="N109" s="513"/>
      <c r="O109" s="505">
        <f t="shared" si="18"/>
        <v>0</v>
      </c>
      <c r="P109" s="505">
        <f t="shared" si="19"/>
        <v>0</v>
      </c>
    </row>
    <row r="110" spans="1:16" ht="12.5">
      <c r="B110" s="145" t="str">
        <f t="shared" si="15"/>
        <v/>
      </c>
      <c r="C110" s="496">
        <f>IF(D94="","-",+C109+1)</f>
        <v>2027</v>
      </c>
      <c r="D110" s="350">
        <f>IF(F109+SUM(E$100:E109)=D$93,F109,D$93-SUM(E$100:E109))</f>
        <v>6899539.4223484844</v>
      </c>
      <c r="E110" s="510">
        <f t="shared" si="20"/>
        <v>290583.93939393939</v>
      </c>
      <c r="F110" s="511">
        <f t="shared" si="21"/>
        <v>6608955.4829545449</v>
      </c>
      <c r="G110" s="511">
        <f t="shared" si="22"/>
        <v>6754247.4526515147</v>
      </c>
      <c r="H110" s="628">
        <f t="shared" si="23"/>
        <v>1020104.9784660833</v>
      </c>
      <c r="I110" s="629">
        <f t="shared" si="24"/>
        <v>1020104.9784660833</v>
      </c>
      <c r="J110" s="505">
        <f t="shared" si="16"/>
        <v>0</v>
      </c>
      <c r="K110" s="505"/>
      <c r="L110" s="513"/>
      <c r="M110" s="505">
        <f t="shared" si="17"/>
        <v>0</v>
      </c>
      <c r="N110" s="513"/>
      <c r="O110" s="505">
        <f t="shared" si="18"/>
        <v>0</v>
      </c>
      <c r="P110" s="505">
        <f t="shared" si="19"/>
        <v>0</v>
      </c>
    </row>
    <row r="111" spans="1:16" ht="12.5">
      <c r="B111" s="145" t="str">
        <f t="shared" si="15"/>
        <v/>
      </c>
      <c r="C111" s="496">
        <f>IF(D94="","-",+C110+1)</f>
        <v>2028</v>
      </c>
      <c r="D111" s="350">
        <f>IF(F110+SUM(E$100:E110)=D$93,F110,D$93-SUM(E$100:E110))</f>
        <v>6608955.4829545449</v>
      </c>
      <c r="E111" s="510">
        <f t="shared" si="20"/>
        <v>290583.93939393939</v>
      </c>
      <c r="F111" s="511">
        <f t="shared" si="21"/>
        <v>6318371.5435606055</v>
      </c>
      <c r="G111" s="511">
        <f t="shared" si="22"/>
        <v>6463663.5132575752</v>
      </c>
      <c r="H111" s="628">
        <f t="shared" si="23"/>
        <v>988719.23210567655</v>
      </c>
      <c r="I111" s="629">
        <f t="shared" si="24"/>
        <v>988719.23210567655</v>
      </c>
      <c r="J111" s="505">
        <f t="shared" si="16"/>
        <v>0</v>
      </c>
      <c r="K111" s="505"/>
      <c r="L111" s="513"/>
      <c r="M111" s="505">
        <f t="shared" si="17"/>
        <v>0</v>
      </c>
      <c r="N111" s="513"/>
      <c r="O111" s="505">
        <f t="shared" si="18"/>
        <v>0</v>
      </c>
      <c r="P111" s="505">
        <f t="shared" si="19"/>
        <v>0</v>
      </c>
    </row>
    <row r="112" spans="1:16" ht="12.5">
      <c r="B112" s="145" t="str">
        <f t="shared" si="15"/>
        <v/>
      </c>
      <c r="C112" s="496">
        <f>IF(D94="","-",+C111+1)</f>
        <v>2029</v>
      </c>
      <c r="D112" s="350">
        <f>IF(F111+SUM(E$100:E111)=D$93,F111,D$93-SUM(E$100:E111))</f>
        <v>6318371.5435606055</v>
      </c>
      <c r="E112" s="510">
        <f t="shared" si="20"/>
        <v>290583.93939393939</v>
      </c>
      <c r="F112" s="511">
        <f t="shared" si="21"/>
        <v>6027787.604166666</v>
      </c>
      <c r="G112" s="511">
        <f t="shared" si="22"/>
        <v>6173079.5738636358</v>
      </c>
      <c r="H112" s="628">
        <f t="shared" si="23"/>
        <v>957333.48574526981</v>
      </c>
      <c r="I112" s="629">
        <f t="shared" si="24"/>
        <v>957333.48574526981</v>
      </c>
      <c r="J112" s="505">
        <f t="shared" si="16"/>
        <v>0</v>
      </c>
      <c r="K112" s="505"/>
      <c r="L112" s="513"/>
      <c r="M112" s="505">
        <f t="shared" si="17"/>
        <v>0</v>
      </c>
      <c r="N112" s="513"/>
      <c r="O112" s="505">
        <f t="shared" si="18"/>
        <v>0</v>
      </c>
      <c r="P112" s="505">
        <f t="shared" si="19"/>
        <v>0</v>
      </c>
    </row>
    <row r="113" spans="2:16" ht="12.5">
      <c r="B113" s="145" t="str">
        <f t="shared" si="15"/>
        <v/>
      </c>
      <c r="C113" s="496">
        <f>IF(D94="","-",+C112+1)</f>
        <v>2030</v>
      </c>
      <c r="D113" s="350">
        <f>IF(F112+SUM(E$100:E112)=D$93,F112,D$93-SUM(E$100:E112))</f>
        <v>6027787.604166666</v>
      </c>
      <c r="E113" s="510">
        <f t="shared" si="20"/>
        <v>290583.93939393939</v>
      </c>
      <c r="F113" s="511">
        <f t="shared" si="21"/>
        <v>5737203.6647727266</v>
      </c>
      <c r="G113" s="511">
        <f t="shared" si="22"/>
        <v>5882495.6344696963</v>
      </c>
      <c r="H113" s="628">
        <f t="shared" si="23"/>
        <v>925947.73938486329</v>
      </c>
      <c r="I113" s="629">
        <f t="shared" si="24"/>
        <v>925947.73938486329</v>
      </c>
      <c r="J113" s="505">
        <f t="shared" si="16"/>
        <v>0</v>
      </c>
      <c r="K113" s="505"/>
      <c r="L113" s="513"/>
      <c r="M113" s="505">
        <f t="shared" si="17"/>
        <v>0</v>
      </c>
      <c r="N113" s="513"/>
      <c r="O113" s="505">
        <f t="shared" si="18"/>
        <v>0</v>
      </c>
      <c r="P113" s="505">
        <f t="shared" si="19"/>
        <v>0</v>
      </c>
    </row>
    <row r="114" spans="2:16" ht="12.5">
      <c r="B114" s="145" t="str">
        <f t="shared" si="15"/>
        <v/>
      </c>
      <c r="C114" s="496">
        <f>IF(D94="","-",+C113+1)</f>
        <v>2031</v>
      </c>
      <c r="D114" s="350">
        <f>IF(F113+SUM(E$100:E113)=D$93,F113,D$93-SUM(E$100:E113))</f>
        <v>5737203.6647727266</v>
      </c>
      <c r="E114" s="510">
        <f t="shared" si="20"/>
        <v>290583.93939393939</v>
      </c>
      <c r="F114" s="511">
        <f t="shared" si="21"/>
        <v>5446619.7253787871</v>
      </c>
      <c r="G114" s="511">
        <f t="shared" si="22"/>
        <v>5591911.6950757569</v>
      </c>
      <c r="H114" s="628">
        <f t="shared" si="23"/>
        <v>894561.99302445655</v>
      </c>
      <c r="I114" s="629">
        <f t="shared" si="24"/>
        <v>894561.99302445655</v>
      </c>
      <c r="J114" s="505">
        <f t="shared" si="16"/>
        <v>0</v>
      </c>
      <c r="K114" s="505"/>
      <c r="L114" s="513"/>
      <c r="M114" s="505">
        <f t="shared" si="17"/>
        <v>0</v>
      </c>
      <c r="N114" s="513"/>
      <c r="O114" s="505">
        <f t="shared" si="18"/>
        <v>0</v>
      </c>
      <c r="P114" s="505">
        <f t="shared" si="19"/>
        <v>0</v>
      </c>
    </row>
    <row r="115" spans="2:16" ht="12.5">
      <c r="B115" s="145" t="str">
        <f t="shared" si="15"/>
        <v/>
      </c>
      <c r="C115" s="496">
        <f>IF(D94="","-",+C114+1)</f>
        <v>2032</v>
      </c>
      <c r="D115" s="350">
        <f>IF(F114+SUM(E$100:E114)=D$93,F114,D$93-SUM(E$100:E114))</f>
        <v>5446619.7253787871</v>
      </c>
      <c r="E115" s="510">
        <f t="shared" si="20"/>
        <v>290583.93939393939</v>
      </c>
      <c r="F115" s="511">
        <f t="shared" si="21"/>
        <v>5156035.7859848477</v>
      </c>
      <c r="G115" s="511">
        <f t="shared" si="22"/>
        <v>5301327.7556818174</v>
      </c>
      <c r="H115" s="628">
        <f t="shared" si="23"/>
        <v>863176.2466640498</v>
      </c>
      <c r="I115" s="629">
        <f t="shared" si="24"/>
        <v>863176.2466640498</v>
      </c>
      <c r="J115" s="505">
        <f t="shared" si="16"/>
        <v>0</v>
      </c>
      <c r="K115" s="505"/>
      <c r="L115" s="513"/>
      <c r="M115" s="505">
        <f t="shared" si="17"/>
        <v>0</v>
      </c>
      <c r="N115" s="513"/>
      <c r="O115" s="505">
        <f t="shared" si="18"/>
        <v>0</v>
      </c>
      <c r="P115" s="505">
        <f t="shared" si="19"/>
        <v>0</v>
      </c>
    </row>
    <row r="116" spans="2:16" ht="12.5">
      <c r="B116" s="145" t="str">
        <f t="shared" si="15"/>
        <v/>
      </c>
      <c r="C116" s="496">
        <f>IF(D94="","-",+C115+1)</f>
        <v>2033</v>
      </c>
      <c r="D116" s="350">
        <f>IF(F115+SUM(E$100:E115)=D$93,F115,D$93-SUM(E$100:E115))</f>
        <v>5156035.7859848477</v>
      </c>
      <c r="E116" s="510">
        <f t="shared" si="20"/>
        <v>290583.93939393939</v>
      </c>
      <c r="F116" s="511">
        <f t="shared" si="21"/>
        <v>4865451.8465909082</v>
      </c>
      <c r="G116" s="511">
        <f t="shared" si="22"/>
        <v>5010743.816287878</v>
      </c>
      <c r="H116" s="628">
        <f t="shared" si="23"/>
        <v>831790.50030364306</v>
      </c>
      <c r="I116" s="629">
        <f t="shared" si="24"/>
        <v>831790.50030364306</v>
      </c>
      <c r="J116" s="505">
        <f t="shared" si="16"/>
        <v>0</v>
      </c>
      <c r="K116" s="505"/>
      <c r="L116" s="513"/>
      <c r="M116" s="505">
        <f t="shared" si="17"/>
        <v>0</v>
      </c>
      <c r="N116" s="513"/>
      <c r="O116" s="505">
        <f t="shared" si="18"/>
        <v>0</v>
      </c>
      <c r="P116" s="505">
        <f t="shared" si="19"/>
        <v>0</v>
      </c>
    </row>
    <row r="117" spans="2:16" ht="12.5">
      <c r="B117" s="145" t="str">
        <f t="shared" si="15"/>
        <v/>
      </c>
      <c r="C117" s="496">
        <f>IF(D94="","-",+C116+1)</f>
        <v>2034</v>
      </c>
      <c r="D117" s="350">
        <f>IF(F116+SUM(E$100:E116)=D$93,F116,D$93-SUM(E$100:E116))</f>
        <v>4865451.8465909082</v>
      </c>
      <c r="E117" s="510">
        <f t="shared" si="20"/>
        <v>290583.93939393939</v>
      </c>
      <c r="F117" s="511">
        <f t="shared" si="21"/>
        <v>4574867.9071969688</v>
      </c>
      <c r="G117" s="511">
        <f t="shared" si="22"/>
        <v>4720159.8768939385</v>
      </c>
      <c r="H117" s="628">
        <f t="shared" si="23"/>
        <v>800404.75394323631</v>
      </c>
      <c r="I117" s="629">
        <f t="shared" si="24"/>
        <v>800404.75394323631</v>
      </c>
      <c r="J117" s="505">
        <f t="shared" si="16"/>
        <v>0</v>
      </c>
      <c r="K117" s="505"/>
      <c r="L117" s="513"/>
      <c r="M117" s="505">
        <f t="shared" si="17"/>
        <v>0</v>
      </c>
      <c r="N117" s="513"/>
      <c r="O117" s="505">
        <f t="shared" si="18"/>
        <v>0</v>
      </c>
      <c r="P117" s="505">
        <f t="shared" si="19"/>
        <v>0</v>
      </c>
    </row>
    <row r="118" spans="2:16" ht="12.5">
      <c r="B118" s="145" t="str">
        <f t="shared" si="15"/>
        <v/>
      </c>
      <c r="C118" s="496">
        <f>IF(D94="","-",+C117+1)</f>
        <v>2035</v>
      </c>
      <c r="D118" s="350">
        <f>IF(F117+SUM(E$100:E117)=D$93,F117,D$93-SUM(E$100:E117))</f>
        <v>4574867.9071969688</v>
      </c>
      <c r="E118" s="510">
        <f t="shared" si="20"/>
        <v>290583.93939393939</v>
      </c>
      <c r="F118" s="511">
        <f t="shared" si="21"/>
        <v>4284283.9678030293</v>
      </c>
      <c r="G118" s="511">
        <f t="shared" si="22"/>
        <v>4429575.9374999991</v>
      </c>
      <c r="H118" s="628">
        <f t="shared" si="23"/>
        <v>769019.00758282957</v>
      </c>
      <c r="I118" s="629">
        <f t="shared" si="24"/>
        <v>769019.00758282957</v>
      </c>
      <c r="J118" s="505">
        <f t="shared" si="16"/>
        <v>0</v>
      </c>
      <c r="K118" s="505"/>
      <c r="L118" s="513"/>
      <c r="M118" s="505">
        <f t="shared" si="17"/>
        <v>0</v>
      </c>
      <c r="N118" s="513"/>
      <c r="O118" s="505">
        <f t="shared" si="18"/>
        <v>0</v>
      </c>
      <c r="P118" s="505">
        <f t="shared" si="19"/>
        <v>0</v>
      </c>
    </row>
    <row r="119" spans="2:16" ht="12.5">
      <c r="B119" s="145" t="str">
        <f t="shared" si="15"/>
        <v/>
      </c>
      <c r="C119" s="496">
        <f>IF(D94="","-",+C118+1)</f>
        <v>2036</v>
      </c>
      <c r="D119" s="350">
        <f>IF(F118+SUM(E$100:E118)=D$93,F118,D$93-SUM(E$100:E118))</f>
        <v>4284283.9678030293</v>
      </c>
      <c r="E119" s="510">
        <f t="shared" si="20"/>
        <v>290583.93939393939</v>
      </c>
      <c r="F119" s="511">
        <f t="shared" si="21"/>
        <v>3993700.0284090899</v>
      </c>
      <c r="G119" s="511">
        <f t="shared" si="22"/>
        <v>4138991.9981060596</v>
      </c>
      <c r="H119" s="628">
        <f t="shared" si="23"/>
        <v>737633.26122242282</v>
      </c>
      <c r="I119" s="629">
        <f t="shared" si="24"/>
        <v>737633.26122242282</v>
      </c>
      <c r="J119" s="505">
        <f t="shared" si="16"/>
        <v>0</v>
      </c>
      <c r="K119" s="505"/>
      <c r="L119" s="513"/>
      <c r="M119" s="505">
        <f t="shared" si="17"/>
        <v>0</v>
      </c>
      <c r="N119" s="513"/>
      <c r="O119" s="505">
        <f t="shared" si="18"/>
        <v>0</v>
      </c>
      <c r="P119" s="505">
        <f t="shared" si="19"/>
        <v>0</v>
      </c>
    </row>
    <row r="120" spans="2:16" ht="12.5">
      <c r="B120" s="145" t="str">
        <f t="shared" si="15"/>
        <v/>
      </c>
      <c r="C120" s="496">
        <f>IF(D94="","-",+C119+1)</f>
        <v>2037</v>
      </c>
      <c r="D120" s="350">
        <f>IF(F119+SUM(E$100:E119)=D$93,F119,D$93-SUM(E$100:E119))</f>
        <v>3993700.0284090899</v>
      </c>
      <c r="E120" s="510">
        <f t="shared" si="20"/>
        <v>290583.93939393939</v>
      </c>
      <c r="F120" s="511">
        <f t="shared" si="21"/>
        <v>3703116.0890151504</v>
      </c>
      <c r="G120" s="511">
        <f t="shared" si="22"/>
        <v>3848408.0587121202</v>
      </c>
      <c r="H120" s="628">
        <f t="shared" si="23"/>
        <v>706247.51486201619</v>
      </c>
      <c r="I120" s="629">
        <f t="shared" si="24"/>
        <v>706247.51486201619</v>
      </c>
      <c r="J120" s="505">
        <f t="shared" si="16"/>
        <v>0</v>
      </c>
      <c r="K120" s="505"/>
      <c r="L120" s="513"/>
      <c r="M120" s="505">
        <f t="shared" si="17"/>
        <v>0</v>
      </c>
      <c r="N120" s="513"/>
      <c r="O120" s="505">
        <f t="shared" si="18"/>
        <v>0</v>
      </c>
      <c r="P120" s="505">
        <f t="shared" si="19"/>
        <v>0</v>
      </c>
    </row>
    <row r="121" spans="2:16" ht="12.5">
      <c r="B121" s="145" t="str">
        <f t="shared" si="15"/>
        <v/>
      </c>
      <c r="C121" s="496">
        <f>IF(D94="","-",+C120+1)</f>
        <v>2038</v>
      </c>
      <c r="D121" s="350">
        <f>IF(F120+SUM(E$100:E120)=D$93,F120,D$93-SUM(E$100:E120))</f>
        <v>3703116.0890151504</v>
      </c>
      <c r="E121" s="510">
        <f t="shared" si="20"/>
        <v>290583.93939393939</v>
      </c>
      <c r="F121" s="511">
        <f t="shared" si="21"/>
        <v>3412532.149621211</v>
      </c>
      <c r="G121" s="511">
        <f t="shared" si="22"/>
        <v>3557824.1193181807</v>
      </c>
      <c r="H121" s="628">
        <f t="shared" si="23"/>
        <v>674861.76850160945</v>
      </c>
      <c r="I121" s="629">
        <f t="shared" si="24"/>
        <v>674861.76850160945</v>
      </c>
      <c r="J121" s="505">
        <f t="shared" si="16"/>
        <v>0</v>
      </c>
      <c r="K121" s="505"/>
      <c r="L121" s="513"/>
      <c r="M121" s="505">
        <f t="shared" si="17"/>
        <v>0</v>
      </c>
      <c r="N121" s="513"/>
      <c r="O121" s="505">
        <f t="shared" si="18"/>
        <v>0</v>
      </c>
      <c r="P121" s="505">
        <f t="shared" si="19"/>
        <v>0</v>
      </c>
    </row>
    <row r="122" spans="2:16" ht="12.5">
      <c r="B122" s="145" t="str">
        <f t="shared" si="15"/>
        <v/>
      </c>
      <c r="C122" s="496">
        <f>IF(D94="","-",+C121+1)</f>
        <v>2039</v>
      </c>
      <c r="D122" s="350">
        <f>IF(F121+SUM(E$100:E121)=D$93,F121,D$93-SUM(E$100:E121))</f>
        <v>3412532.149621211</v>
      </c>
      <c r="E122" s="510">
        <f t="shared" si="20"/>
        <v>290583.93939393939</v>
      </c>
      <c r="F122" s="511">
        <f t="shared" si="21"/>
        <v>3121948.2102272715</v>
      </c>
      <c r="G122" s="511">
        <f t="shared" si="22"/>
        <v>3267240.1799242413</v>
      </c>
      <c r="H122" s="628">
        <f t="shared" si="23"/>
        <v>643476.02214120282</v>
      </c>
      <c r="I122" s="629">
        <f t="shared" si="24"/>
        <v>643476.02214120282</v>
      </c>
      <c r="J122" s="505">
        <f t="shared" si="16"/>
        <v>0</v>
      </c>
      <c r="K122" s="505"/>
      <c r="L122" s="513"/>
      <c r="M122" s="505">
        <f t="shared" si="17"/>
        <v>0</v>
      </c>
      <c r="N122" s="513"/>
      <c r="O122" s="505">
        <f t="shared" si="18"/>
        <v>0</v>
      </c>
      <c r="P122" s="505">
        <f t="shared" si="19"/>
        <v>0</v>
      </c>
    </row>
    <row r="123" spans="2:16" ht="12.5">
      <c r="B123" s="145" t="str">
        <f t="shared" si="15"/>
        <v/>
      </c>
      <c r="C123" s="496">
        <f>IF(D94="","-",+C122+1)</f>
        <v>2040</v>
      </c>
      <c r="D123" s="350">
        <f>IF(F122+SUM(E$100:E122)=D$93,F122,D$93-SUM(E$100:E122))</f>
        <v>3121948.2102272715</v>
      </c>
      <c r="E123" s="510">
        <f t="shared" si="20"/>
        <v>290583.93939393939</v>
      </c>
      <c r="F123" s="511">
        <f t="shared" si="21"/>
        <v>2831364.2708333321</v>
      </c>
      <c r="G123" s="511">
        <f t="shared" si="22"/>
        <v>2976656.2405303018</v>
      </c>
      <c r="H123" s="628">
        <f t="shared" si="23"/>
        <v>612090.27578079607</v>
      </c>
      <c r="I123" s="629">
        <f t="shared" si="24"/>
        <v>612090.27578079607</v>
      </c>
      <c r="J123" s="505">
        <f t="shared" si="16"/>
        <v>0</v>
      </c>
      <c r="K123" s="505"/>
      <c r="L123" s="513"/>
      <c r="M123" s="505">
        <f t="shared" si="17"/>
        <v>0</v>
      </c>
      <c r="N123" s="513"/>
      <c r="O123" s="505">
        <f t="shared" si="18"/>
        <v>0</v>
      </c>
      <c r="P123" s="505">
        <f t="shared" si="19"/>
        <v>0</v>
      </c>
    </row>
    <row r="124" spans="2:16" ht="12.5">
      <c r="B124" s="145" t="str">
        <f t="shared" si="15"/>
        <v/>
      </c>
      <c r="C124" s="496">
        <f>IF(D94="","-",+C123+1)</f>
        <v>2041</v>
      </c>
      <c r="D124" s="350">
        <f>IF(F123+SUM(E$100:E123)=D$93,F123,D$93-SUM(E$100:E123))</f>
        <v>2831364.2708333321</v>
      </c>
      <c r="E124" s="510">
        <f t="shared" si="20"/>
        <v>290583.93939393939</v>
      </c>
      <c r="F124" s="511">
        <f t="shared" si="21"/>
        <v>2540780.3314393926</v>
      </c>
      <c r="G124" s="511">
        <f t="shared" si="22"/>
        <v>2686072.3011363624</v>
      </c>
      <c r="H124" s="628">
        <f t="shared" si="23"/>
        <v>580704.52942038933</v>
      </c>
      <c r="I124" s="629">
        <f t="shared" si="24"/>
        <v>580704.52942038933</v>
      </c>
      <c r="J124" s="505">
        <f t="shared" si="16"/>
        <v>0</v>
      </c>
      <c r="K124" s="505"/>
      <c r="L124" s="513"/>
      <c r="M124" s="505">
        <f t="shared" si="17"/>
        <v>0</v>
      </c>
      <c r="N124" s="513"/>
      <c r="O124" s="505">
        <f t="shared" si="18"/>
        <v>0</v>
      </c>
      <c r="P124" s="505">
        <f t="shared" si="19"/>
        <v>0</v>
      </c>
    </row>
    <row r="125" spans="2:16" ht="12.5">
      <c r="B125" s="145" t="str">
        <f t="shared" si="15"/>
        <v/>
      </c>
      <c r="C125" s="496">
        <f>IF(D94="","-",+C124+1)</f>
        <v>2042</v>
      </c>
      <c r="D125" s="350">
        <f>IF(F124+SUM(E$100:E124)=D$93,F124,D$93-SUM(E$100:E124))</f>
        <v>2540780.3314393926</v>
      </c>
      <c r="E125" s="510">
        <f t="shared" si="20"/>
        <v>290583.93939393939</v>
      </c>
      <c r="F125" s="511">
        <f t="shared" si="21"/>
        <v>2250196.3920454532</v>
      </c>
      <c r="G125" s="511">
        <f t="shared" si="22"/>
        <v>2395488.3617424229</v>
      </c>
      <c r="H125" s="628">
        <f t="shared" si="23"/>
        <v>549318.78305998258</v>
      </c>
      <c r="I125" s="629">
        <f t="shared" si="24"/>
        <v>549318.78305998258</v>
      </c>
      <c r="J125" s="505">
        <f t="shared" si="16"/>
        <v>0</v>
      </c>
      <c r="K125" s="505"/>
      <c r="L125" s="513"/>
      <c r="M125" s="505">
        <f t="shared" si="17"/>
        <v>0</v>
      </c>
      <c r="N125" s="513"/>
      <c r="O125" s="505">
        <f t="shared" si="18"/>
        <v>0</v>
      </c>
      <c r="P125" s="505">
        <f t="shared" si="19"/>
        <v>0</v>
      </c>
    </row>
    <row r="126" spans="2:16" ht="12.5">
      <c r="B126" s="145" t="str">
        <f t="shared" si="15"/>
        <v/>
      </c>
      <c r="C126" s="496">
        <f>IF(D94="","-",+C125+1)</f>
        <v>2043</v>
      </c>
      <c r="D126" s="350">
        <f>IF(F125+SUM(E$100:E125)=D$93,F125,D$93-SUM(E$100:E125))</f>
        <v>2250196.3920454532</v>
      </c>
      <c r="E126" s="510">
        <f t="shared" si="20"/>
        <v>290583.93939393939</v>
      </c>
      <c r="F126" s="511">
        <f t="shared" si="21"/>
        <v>1959612.4526515137</v>
      </c>
      <c r="G126" s="511">
        <f t="shared" si="22"/>
        <v>2104904.4223484835</v>
      </c>
      <c r="H126" s="628">
        <f t="shared" si="23"/>
        <v>517933.0366995759</v>
      </c>
      <c r="I126" s="629">
        <f t="shared" si="24"/>
        <v>517933.0366995759</v>
      </c>
      <c r="J126" s="505">
        <f t="shared" si="16"/>
        <v>0</v>
      </c>
      <c r="K126" s="505"/>
      <c r="L126" s="513"/>
      <c r="M126" s="505">
        <f t="shared" si="17"/>
        <v>0</v>
      </c>
      <c r="N126" s="513"/>
      <c r="O126" s="505">
        <f t="shared" si="18"/>
        <v>0</v>
      </c>
      <c r="P126" s="505">
        <f t="shared" si="19"/>
        <v>0</v>
      </c>
    </row>
    <row r="127" spans="2:16" ht="12.5">
      <c r="B127" s="145" t="str">
        <f t="shared" si="15"/>
        <v/>
      </c>
      <c r="C127" s="496">
        <f>IF(D94="","-",+C126+1)</f>
        <v>2044</v>
      </c>
      <c r="D127" s="350">
        <f>IF(F126+SUM(E$100:E126)=D$93,F126,D$93-SUM(E$100:E126))</f>
        <v>1959612.4526515137</v>
      </c>
      <c r="E127" s="510">
        <f t="shared" si="20"/>
        <v>290583.93939393939</v>
      </c>
      <c r="F127" s="511">
        <f t="shared" si="21"/>
        <v>1669028.5132575743</v>
      </c>
      <c r="G127" s="511">
        <f t="shared" si="22"/>
        <v>1814320.482954544</v>
      </c>
      <c r="H127" s="628">
        <f t="shared" si="23"/>
        <v>486547.29033916921</v>
      </c>
      <c r="I127" s="629">
        <f t="shared" si="24"/>
        <v>486547.29033916921</v>
      </c>
      <c r="J127" s="505">
        <f t="shared" si="16"/>
        <v>0</v>
      </c>
      <c r="K127" s="505"/>
      <c r="L127" s="513"/>
      <c r="M127" s="505">
        <f t="shared" si="17"/>
        <v>0</v>
      </c>
      <c r="N127" s="513"/>
      <c r="O127" s="505">
        <f t="shared" si="18"/>
        <v>0</v>
      </c>
      <c r="P127" s="505">
        <f t="shared" si="19"/>
        <v>0</v>
      </c>
    </row>
    <row r="128" spans="2:16" ht="12.5">
      <c r="B128" s="145" t="str">
        <f t="shared" si="15"/>
        <v/>
      </c>
      <c r="C128" s="496">
        <f>IF(D94="","-",+C127+1)</f>
        <v>2045</v>
      </c>
      <c r="D128" s="350">
        <f>IF(F127+SUM(E$100:E127)=D$93,F127,D$93-SUM(E$100:E127))</f>
        <v>1669028.5132575743</v>
      </c>
      <c r="E128" s="510">
        <f t="shared" si="20"/>
        <v>290583.93939393939</v>
      </c>
      <c r="F128" s="511">
        <f t="shared" si="21"/>
        <v>1378444.5738636348</v>
      </c>
      <c r="G128" s="511">
        <f t="shared" si="22"/>
        <v>1523736.5435606046</v>
      </c>
      <c r="H128" s="628">
        <f t="shared" si="23"/>
        <v>455161.54397876246</v>
      </c>
      <c r="I128" s="629">
        <f t="shared" si="24"/>
        <v>455161.54397876246</v>
      </c>
      <c r="J128" s="505">
        <f t="shared" si="16"/>
        <v>0</v>
      </c>
      <c r="K128" s="505"/>
      <c r="L128" s="513"/>
      <c r="M128" s="505">
        <f t="shared" si="17"/>
        <v>0</v>
      </c>
      <c r="N128" s="513"/>
      <c r="O128" s="505">
        <f t="shared" si="18"/>
        <v>0</v>
      </c>
      <c r="P128" s="505">
        <f t="shared" si="19"/>
        <v>0</v>
      </c>
    </row>
    <row r="129" spans="2:16" ht="12.5">
      <c r="B129" s="145" t="str">
        <f t="shared" si="15"/>
        <v/>
      </c>
      <c r="C129" s="496">
        <f>IF(D94="","-",+C128+1)</f>
        <v>2046</v>
      </c>
      <c r="D129" s="350">
        <f>IF(F128+SUM(E$100:E128)=D$93,F128,D$93-SUM(E$100:E128))</f>
        <v>1378444.5738636348</v>
      </c>
      <c r="E129" s="510">
        <f t="shared" si="20"/>
        <v>290583.93939393939</v>
      </c>
      <c r="F129" s="511">
        <f t="shared" si="21"/>
        <v>1087860.6344696954</v>
      </c>
      <c r="G129" s="511">
        <f t="shared" si="22"/>
        <v>1233152.6041666651</v>
      </c>
      <c r="H129" s="628">
        <f t="shared" si="23"/>
        <v>423775.79761835572</v>
      </c>
      <c r="I129" s="629">
        <f t="shared" si="24"/>
        <v>423775.79761835572</v>
      </c>
      <c r="J129" s="505">
        <f t="shared" si="16"/>
        <v>0</v>
      </c>
      <c r="K129" s="505"/>
      <c r="L129" s="513"/>
      <c r="M129" s="505">
        <f t="shared" si="17"/>
        <v>0</v>
      </c>
      <c r="N129" s="513"/>
      <c r="O129" s="505">
        <f t="shared" si="18"/>
        <v>0</v>
      </c>
      <c r="P129" s="505">
        <f t="shared" si="19"/>
        <v>0</v>
      </c>
    </row>
    <row r="130" spans="2:16" ht="12.5">
      <c r="B130" s="145" t="str">
        <f t="shared" si="15"/>
        <v/>
      </c>
      <c r="C130" s="496">
        <f>IF(D94="","-",+C129+1)</f>
        <v>2047</v>
      </c>
      <c r="D130" s="350">
        <f>IF(F129+SUM(E$100:E129)=D$93,F129,D$93-SUM(E$100:E129))</f>
        <v>1087860.6344696954</v>
      </c>
      <c r="E130" s="510">
        <f t="shared" si="20"/>
        <v>290583.93939393939</v>
      </c>
      <c r="F130" s="511">
        <f t="shared" si="21"/>
        <v>797276.69507575594</v>
      </c>
      <c r="G130" s="511">
        <f t="shared" si="22"/>
        <v>942568.66477272566</v>
      </c>
      <c r="H130" s="628">
        <f t="shared" si="23"/>
        <v>392390.05125794903</v>
      </c>
      <c r="I130" s="629">
        <f t="shared" si="24"/>
        <v>392390.05125794903</v>
      </c>
      <c r="J130" s="505">
        <f t="shared" si="16"/>
        <v>0</v>
      </c>
      <c r="K130" s="505"/>
      <c r="L130" s="513"/>
      <c r="M130" s="505">
        <f t="shared" si="17"/>
        <v>0</v>
      </c>
      <c r="N130" s="513"/>
      <c r="O130" s="505">
        <f t="shared" si="18"/>
        <v>0</v>
      </c>
      <c r="P130" s="505">
        <f t="shared" si="19"/>
        <v>0</v>
      </c>
    </row>
    <row r="131" spans="2:16" ht="12.5">
      <c r="B131" s="145" t="str">
        <f t="shared" si="15"/>
        <v/>
      </c>
      <c r="C131" s="496">
        <f>IF(D94="","-",+C130+1)</f>
        <v>2048</v>
      </c>
      <c r="D131" s="350">
        <f>IF(F130+SUM(E$100:E130)=D$93,F130,D$93-SUM(E$100:E130))</f>
        <v>797276.69507575594</v>
      </c>
      <c r="E131" s="510">
        <f t="shared" si="20"/>
        <v>290583.93939393939</v>
      </c>
      <c r="F131" s="511">
        <f t="shared" si="21"/>
        <v>506692.75568181655</v>
      </c>
      <c r="G131" s="511">
        <f t="shared" si="22"/>
        <v>651984.72537878621</v>
      </c>
      <c r="H131" s="628">
        <f t="shared" si="23"/>
        <v>361004.30489754229</v>
      </c>
      <c r="I131" s="629">
        <f t="shared" si="24"/>
        <v>361004.30489754229</v>
      </c>
      <c r="J131" s="505">
        <f t="shared" si="16"/>
        <v>0</v>
      </c>
      <c r="K131" s="505"/>
      <c r="L131" s="513"/>
      <c r="M131" s="505">
        <f t="shared" si="17"/>
        <v>0</v>
      </c>
      <c r="N131" s="513"/>
      <c r="O131" s="505">
        <f t="shared" si="18"/>
        <v>0</v>
      </c>
      <c r="P131" s="505">
        <f t="shared" si="19"/>
        <v>0</v>
      </c>
    </row>
    <row r="132" spans="2:16" ht="12.5">
      <c r="B132" s="145" t="str">
        <f t="shared" si="15"/>
        <v/>
      </c>
      <c r="C132" s="496">
        <f>IF(D94="","-",+C131+1)</f>
        <v>2049</v>
      </c>
      <c r="D132" s="350">
        <f>IF(F131+SUM(E$100:E131)=D$93,F131,D$93-SUM(E$100:E131))</f>
        <v>506692.75568181655</v>
      </c>
      <c r="E132" s="510">
        <f t="shared" si="20"/>
        <v>290583.93939393939</v>
      </c>
      <c r="F132" s="511">
        <f t="shared" ref="F132:F155" si="25">+D132-E132</f>
        <v>216108.81628787715</v>
      </c>
      <c r="G132" s="511">
        <f t="shared" ref="G132:G155" si="26">+(F132+D132)/2</f>
        <v>361400.78598484688</v>
      </c>
      <c r="H132" s="628">
        <f t="shared" si="23"/>
        <v>329618.5585371356</v>
      </c>
      <c r="I132" s="629">
        <f t="shared" si="24"/>
        <v>329618.5585371356</v>
      </c>
      <c r="J132" s="505">
        <f t="shared" ref="J132:J155" si="27">+I542-H542</f>
        <v>0</v>
      </c>
      <c r="K132" s="505"/>
      <c r="L132" s="513"/>
      <c r="M132" s="505">
        <f t="shared" ref="M132:M155" si="28">IF(L542&lt;&gt;0,+H542-L542,0)</f>
        <v>0</v>
      </c>
      <c r="N132" s="513"/>
      <c r="O132" s="505">
        <f t="shared" ref="O132:O155" si="29">IF(N542&lt;&gt;0,+I542-N542,0)</f>
        <v>0</v>
      </c>
      <c r="P132" s="505">
        <f t="shared" ref="P132:P155" si="30">+O542-M542</f>
        <v>0</v>
      </c>
    </row>
    <row r="133" spans="2:16" ht="12.5">
      <c r="B133" s="145" t="str">
        <f t="shared" si="15"/>
        <v/>
      </c>
      <c r="C133" s="496">
        <f>IF(D94="","-",+C132+1)</f>
        <v>2050</v>
      </c>
      <c r="D133" s="350">
        <f>IF(F132+SUM(E$100:E132)=D$93,F132,D$93-SUM(E$100:E132))</f>
        <v>216108.81628787715</v>
      </c>
      <c r="E133" s="510">
        <f t="shared" ref="E133:E155" si="31">IF(+J$97&lt;F132,J$97,D133)</f>
        <v>216108.81628787715</v>
      </c>
      <c r="F133" s="511">
        <f t="shared" si="25"/>
        <v>0</v>
      </c>
      <c r="G133" s="511">
        <f t="shared" si="26"/>
        <v>108054.40814393858</v>
      </c>
      <c r="H133" s="628">
        <f t="shared" si="23"/>
        <v>227779.68926937357</v>
      </c>
      <c r="I133" s="629">
        <f t="shared" si="24"/>
        <v>227779.68926937357</v>
      </c>
      <c r="J133" s="505">
        <f t="shared" si="27"/>
        <v>0</v>
      </c>
      <c r="K133" s="505"/>
      <c r="L133" s="513"/>
      <c r="M133" s="505">
        <f t="shared" si="28"/>
        <v>0</v>
      </c>
      <c r="N133" s="513"/>
      <c r="O133" s="505">
        <f t="shared" si="29"/>
        <v>0</v>
      </c>
      <c r="P133" s="505">
        <f t="shared" si="30"/>
        <v>0</v>
      </c>
    </row>
    <row r="134" spans="2:16" ht="12.5">
      <c r="B134" s="145" t="str">
        <f t="shared" si="15"/>
        <v/>
      </c>
      <c r="C134" s="496">
        <f>IF(D94="","-",+C133+1)</f>
        <v>2051</v>
      </c>
      <c r="D134" s="350">
        <f>IF(F133+SUM(E$100:E133)=D$93,F133,D$93-SUM(E$100:E133))</f>
        <v>0</v>
      </c>
      <c r="E134" s="510">
        <f t="shared" si="31"/>
        <v>0</v>
      </c>
      <c r="F134" s="511">
        <f t="shared" si="25"/>
        <v>0</v>
      </c>
      <c r="G134" s="511">
        <f t="shared" si="26"/>
        <v>0</v>
      </c>
      <c r="H134" s="628">
        <f t="shared" si="23"/>
        <v>0</v>
      </c>
      <c r="I134" s="629">
        <f t="shared" si="24"/>
        <v>0</v>
      </c>
      <c r="J134" s="505">
        <f t="shared" si="27"/>
        <v>0</v>
      </c>
      <c r="K134" s="505"/>
      <c r="L134" s="513"/>
      <c r="M134" s="505">
        <f t="shared" si="28"/>
        <v>0</v>
      </c>
      <c r="N134" s="513"/>
      <c r="O134" s="505">
        <f t="shared" si="29"/>
        <v>0</v>
      </c>
      <c r="P134" s="505">
        <f t="shared" si="30"/>
        <v>0</v>
      </c>
    </row>
    <row r="135" spans="2:16" ht="12.5">
      <c r="B135" s="145" t="str">
        <f t="shared" si="15"/>
        <v/>
      </c>
      <c r="C135" s="496">
        <f>IF(D94="","-",+C134+1)</f>
        <v>2052</v>
      </c>
      <c r="D135" s="350">
        <f>IF(F134+SUM(E$100:E134)=D$93,F134,D$93-SUM(E$100:E134))</f>
        <v>0</v>
      </c>
      <c r="E135" s="510">
        <f t="shared" si="31"/>
        <v>0</v>
      </c>
      <c r="F135" s="511">
        <f t="shared" si="25"/>
        <v>0</v>
      </c>
      <c r="G135" s="511">
        <f t="shared" si="26"/>
        <v>0</v>
      </c>
      <c r="H135" s="628">
        <f t="shared" si="23"/>
        <v>0</v>
      </c>
      <c r="I135" s="629">
        <f t="shared" si="24"/>
        <v>0</v>
      </c>
      <c r="J135" s="505">
        <f t="shared" si="27"/>
        <v>0</v>
      </c>
      <c r="K135" s="505"/>
      <c r="L135" s="513"/>
      <c r="M135" s="505">
        <f t="shared" si="28"/>
        <v>0</v>
      </c>
      <c r="N135" s="513"/>
      <c r="O135" s="505">
        <f t="shared" si="29"/>
        <v>0</v>
      </c>
      <c r="P135" s="505">
        <f t="shared" si="30"/>
        <v>0</v>
      </c>
    </row>
    <row r="136" spans="2:16" ht="12.5">
      <c r="B136" s="145" t="str">
        <f t="shared" si="15"/>
        <v/>
      </c>
      <c r="C136" s="496">
        <f>IF(D94="","-",+C135+1)</f>
        <v>2053</v>
      </c>
      <c r="D136" s="350">
        <f>IF(F135+SUM(E$100:E135)=D$93,F135,D$93-SUM(E$100:E135))</f>
        <v>0</v>
      </c>
      <c r="E136" s="510">
        <f t="shared" si="31"/>
        <v>0</v>
      </c>
      <c r="F136" s="511">
        <f t="shared" si="25"/>
        <v>0</v>
      </c>
      <c r="G136" s="511">
        <f t="shared" si="26"/>
        <v>0</v>
      </c>
      <c r="H136" s="628">
        <f t="shared" si="23"/>
        <v>0</v>
      </c>
      <c r="I136" s="629">
        <f t="shared" si="24"/>
        <v>0</v>
      </c>
      <c r="J136" s="505">
        <f t="shared" si="27"/>
        <v>0</v>
      </c>
      <c r="K136" s="505"/>
      <c r="L136" s="513"/>
      <c r="M136" s="505">
        <f t="shared" si="28"/>
        <v>0</v>
      </c>
      <c r="N136" s="513"/>
      <c r="O136" s="505">
        <f t="shared" si="29"/>
        <v>0</v>
      </c>
      <c r="P136" s="505">
        <f t="shared" si="30"/>
        <v>0</v>
      </c>
    </row>
    <row r="137" spans="2:16" ht="12.5">
      <c r="B137" s="145" t="str">
        <f t="shared" si="15"/>
        <v/>
      </c>
      <c r="C137" s="496">
        <f>IF(D94="","-",+C136+1)</f>
        <v>2054</v>
      </c>
      <c r="D137" s="350">
        <f>IF(F136+SUM(E$100:E136)=D$93,F136,D$93-SUM(E$100:E136))</f>
        <v>0</v>
      </c>
      <c r="E137" s="510">
        <f t="shared" si="31"/>
        <v>0</v>
      </c>
      <c r="F137" s="511">
        <f t="shared" si="25"/>
        <v>0</v>
      </c>
      <c r="G137" s="511">
        <f t="shared" si="26"/>
        <v>0</v>
      </c>
      <c r="H137" s="628">
        <f t="shared" si="23"/>
        <v>0</v>
      </c>
      <c r="I137" s="629">
        <f t="shared" si="24"/>
        <v>0</v>
      </c>
      <c r="J137" s="505">
        <f t="shared" si="27"/>
        <v>0</v>
      </c>
      <c r="K137" s="505"/>
      <c r="L137" s="513"/>
      <c r="M137" s="505">
        <f t="shared" si="28"/>
        <v>0</v>
      </c>
      <c r="N137" s="513"/>
      <c r="O137" s="505">
        <f t="shared" si="29"/>
        <v>0</v>
      </c>
      <c r="P137" s="505">
        <f t="shared" si="30"/>
        <v>0</v>
      </c>
    </row>
    <row r="138" spans="2:16" ht="12.5">
      <c r="B138" s="145" t="str">
        <f t="shared" si="15"/>
        <v/>
      </c>
      <c r="C138" s="496">
        <f>IF(D94="","-",+C137+1)</f>
        <v>2055</v>
      </c>
      <c r="D138" s="350">
        <f>IF(F137+SUM(E$100:E137)=D$93,F137,D$93-SUM(E$100:E137))</f>
        <v>0</v>
      </c>
      <c r="E138" s="510">
        <f t="shared" si="31"/>
        <v>0</v>
      </c>
      <c r="F138" s="511">
        <f t="shared" si="25"/>
        <v>0</v>
      </c>
      <c r="G138" s="511">
        <f t="shared" si="26"/>
        <v>0</v>
      </c>
      <c r="H138" s="628">
        <f t="shared" si="23"/>
        <v>0</v>
      </c>
      <c r="I138" s="629">
        <f t="shared" si="24"/>
        <v>0</v>
      </c>
      <c r="J138" s="505">
        <f t="shared" si="27"/>
        <v>0</v>
      </c>
      <c r="K138" s="505"/>
      <c r="L138" s="513"/>
      <c r="M138" s="505">
        <f t="shared" si="28"/>
        <v>0</v>
      </c>
      <c r="N138" s="513"/>
      <c r="O138" s="505">
        <f t="shared" si="29"/>
        <v>0</v>
      </c>
      <c r="P138" s="505">
        <f t="shared" si="30"/>
        <v>0</v>
      </c>
    </row>
    <row r="139" spans="2:16" ht="12.5">
      <c r="B139" s="145" t="str">
        <f t="shared" si="15"/>
        <v/>
      </c>
      <c r="C139" s="496">
        <f>IF(D94="","-",+C138+1)</f>
        <v>2056</v>
      </c>
      <c r="D139" s="350">
        <f>IF(F138+SUM(E$100:E138)=D$93,F138,D$93-SUM(E$100:E138))</f>
        <v>0</v>
      </c>
      <c r="E139" s="510">
        <f t="shared" si="31"/>
        <v>0</v>
      </c>
      <c r="F139" s="511">
        <f t="shared" si="25"/>
        <v>0</v>
      </c>
      <c r="G139" s="511">
        <f t="shared" si="26"/>
        <v>0</v>
      </c>
      <c r="H139" s="628">
        <f t="shared" si="23"/>
        <v>0</v>
      </c>
      <c r="I139" s="629">
        <f t="shared" si="24"/>
        <v>0</v>
      </c>
      <c r="J139" s="505">
        <f t="shared" si="27"/>
        <v>0</v>
      </c>
      <c r="K139" s="505"/>
      <c r="L139" s="513"/>
      <c r="M139" s="505">
        <f t="shared" si="28"/>
        <v>0</v>
      </c>
      <c r="N139" s="513"/>
      <c r="O139" s="505">
        <f t="shared" si="29"/>
        <v>0</v>
      </c>
      <c r="P139" s="505">
        <f t="shared" si="30"/>
        <v>0</v>
      </c>
    </row>
    <row r="140" spans="2:16" ht="12.5">
      <c r="B140" s="145" t="str">
        <f t="shared" si="15"/>
        <v/>
      </c>
      <c r="C140" s="496">
        <f>IF(D94="","-",+C139+1)</f>
        <v>2057</v>
      </c>
      <c r="D140" s="350">
        <f>IF(F139+SUM(E$100:E139)=D$93,F139,D$93-SUM(E$100:E139))</f>
        <v>0</v>
      </c>
      <c r="E140" s="510">
        <f t="shared" si="31"/>
        <v>0</v>
      </c>
      <c r="F140" s="511">
        <f t="shared" si="25"/>
        <v>0</v>
      </c>
      <c r="G140" s="511">
        <f t="shared" si="26"/>
        <v>0</v>
      </c>
      <c r="H140" s="628">
        <f t="shared" si="23"/>
        <v>0</v>
      </c>
      <c r="I140" s="629">
        <f t="shared" si="24"/>
        <v>0</v>
      </c>
      <c r="J140" s="505">
        <f t="shared" si="27"/>
        <v>0</v>
      </c>
      <c r="K140" s="505"/>
      <c r="L140" s="513"/>
      <c r="M140" s="505">
        <f t="shared" si="28"/>
        <v>0</v>
      </c>
      <c r="N140" s="513"/>
      <c r="O140" s="505">
        <f t="shared" si="29"/>
        <v>0</v>
      </c>
      <c r="P140" s="505">
        <f t="shared" si="30"/>
        <v>0</v>
      </c>
    </row>
    <row r="141" spans="2:16" ht="12.5">
      <c r="B141" s="145" t="str">
        <f t="shared" si="15"/>
        <v/>
      </c>
      <c r="C141" s="496">
        <f>IF(D94="","-",+C140+1)</f>
        <v>2058</v>
      </c>
      <c r="D141" s="350">
        <f>IF(F140+SUM(E$100:E140)=D$93,F140,D$93-SUM(E$100:E140))</f>
        <v>0</v>
      </c>
      <c r="E141" s="510">
        <f t="shared" si="31"/>
        <v>0</v>
      </c>
      <c r="F141" s="511">
        <f t="shared" si="25"/>
        <v>0</v>
      </c>
      <c r="G141" s="511">
        <f t="shared" si="26"/>
        <v>0</v>
      </c>
      <c r="H141" s="628">
        <f t="shared" si="23"/>
        <v>0</v>
      </c>
      <c r="I141" s="629">
        <f t="shared" si="24"/>
        <v>0</v>
      </c>
      <c r="J141" s="505">
        <f t="shared" si="27"/>
        <v>0</v>
      </c>
      <c r="K141" s="505"/>
      <c r="L141" s="513"/>
      <c r="M141" s="505">
        <f t="shared" si="28"/>
        <v>0</v>
      </c>
      <c r="N141" s="513"/>
      <c r="O141" s="505">
        <f t="shared" si="29"/>
        <v>0</v>
      </c>
      <c r="P141" s="505">
        <f t="shared" si="30"/>
        <v>0</v>
      </c>
    </row>
    <row r="142" spans="2:16" ht="12.5">
      <c r="B142" s="145" t="str">
        <f t="shared" si="15"/>
        <v/>
      </c>
      <c r="C142" s="496">
        <f>IF(D94="","-",+C141+1)</f>
        <v>2059</v>
      </c>
      <c r="D142" s="350">
        <f>IF(F141+SUM(E$100:E141)=D$93,F141,D$93-SUM(E$100:E141))</f>
        <v>0</v>
      </c>
      <c r="E142" s="510">
        <f t="shared" si="31"/>
        <v>0</v>
      </c>
      <c r="F142" s="511">
        <f t="shared" si="25"/>
        <v>0</v>
      </c>
      <c r="G142" s="511">
        <f t="shared" si="26"/>
        <v>0</v>
      </c>
      <c r="H142" s="628">
        <f t="shared" si="23"/>
        <v>0</v>
      </c>
      <c r="I142" s="629">
        <f t="shared" si="24"/>
        <v>0</v>
      </c>
      <c r="J142" s="505">
        <f t="shared" si="27"/>
        <v>0</v>
      </c>
      <c r="K142" s="505"/>
      <c r="L142" s="513"/>
      <c r="M142" s="505">
        <f t="shared" si="28"/>
        <v>0</v>
      </c>
      <c r="N142" s="513"/>
      <c r="O142" s="505">
        <f t="shared" si="29"/>
        <v>0</v>
      </c>
      <c r="P142" s="505">
        <f t="shared" si="30"/>
        <v>0</v>
      </c>
    </row>
    <row r="143" spans="2:16" ht="12.5">
      <c r="B143" s="145" t="str">
        <f t="shared" si="15"/>
        <v/>
      </c>
      <c r="C143" s="496">
        <f>IF(D94="","-",+C142+1)</f>
        <v>2060</v>
      </c>
      <c r="D143" s="350">
        <f>IF(F142+SUM(E$100:E142)=D$93,F142,D$93-SUM(E$100:E142))</f>
        <v>0</v>
      </c>
      <c r="E143" s="510">
        <f t="shared" si="31"/>
        <v>0</v>
      </c>
      <c r="F143" s="511">
        <f t="shared" si="25"/>
        <v>0</v>
      </c>
      <c r="G143" s="511">
        <f t="shared" si="26"/>
        <v>0</v>
      </c>
      <c r="H143" s="628">
        <f t="shared" si="23"/>
        <v>0</v>
      </c>
      <c r="I143" s="629">
        <f t="shared" si="24"/>
        <v>0</v>
      </c>
      <c r="J143" s="505">
        <f t="shared" si="27"/>
        <v>0</v>
      </c>
      <c r="K143" s="505"/>
      <c r="L143" s="513"/>
      <c r="M143" s="505">
        <f t="shared" si="28"/>
        <v>0</v>
      </c>
      <c r="N143" s="513"/>
      <c r="O143" s="505">
        <f t="shared" si="29"/>
        <v>0</v>
      </c>
      <c r="P143" s="505">
        <f t="shared" si="30"/>
        <v>0</v>
      </c>
    </row>
    <row r="144" spans="2:16" ht="12.5">
      <c r="B144" s="145" t="str">
        <f t="shared" si="15"/>
        <v/>
      </c>
      <c r="C144" s="496">
        <f>IF(D94="","-",+C143+1)</f>
        <v>2061</v>
      </c>
      <c r="D144" s="350">
        <f>IF(F143+SUM(E$100:E143)=D$93,F143,D$93-SUM(E$100:E143))</f>
        <v>0</v>
      </c>
      <c r="E144" s="510">
        <f t="shared" si="31"/>
        <v>0</v>
      </c>
      <c r="F144" s="511">
        <f t="shared" si="25"/>
        <v>0</v>
      </c>
      <c r="G144" s="511">
        <f t="shared" si="26"/>
        <v>0</v>
      </c>
      <c r="H144" s="628">
        <f t="shared" si="23"/>
        <v>0</v>
      </c>
      <c r="I144" s="629">
        <f t="shared" si="24"/>
        <v>0</v>
      </c>
      <c r="J144" s="505">
        <f t="shared" si="27"/>
        <v>0</v>
      </c>
      <c r="K144" s="505"/>
      <c r="L144" s="513"/>
      <c r="M144" s="505">
        <f t="shared" si="28"/>
        <v>0</v>
      </c>
      <c r="N144" s="513"/>
      <c r="O144" s="505">
        <f t="shared" si="29"/>
        <v>0</v>
      </c>
      <c r="P144" s="505">
        <f t="shared" si="30"/>
        <v>0</v>
      </c>
    </row>
    <row r="145" spans="2:16" ht="12.5">
      <c r="B145" s="145" t="str">
        <f t="shared" si="15"/>
        <v/>
      </c>
      <c r="C145" s="496">
        <f>IF(D94="","-",+C144+1)</f>
        <v>2062</v>
      </c>
      <c r="D145" s="350">
        <f>IF(F144+SUM(E$100:E144)=D$93,F144,D$93-SUM(E$100:E144))</f>
        <v>0</v>
      </c>
      <c r="E145" s="510">
        <f t="shared" si="31"/>
        <v>0</v>
      </c>
      <c r="F145" s="511">
        <f t="shared" si="25"/>
        <v>0</v>
      </c>
      <c r="G145" s="511">
        <f t="shared" si="26"/>
        <v>0</v>
      </c>
      <c r="H145" s="628">
        <f t="shared" si="23"/>
        <v>0</v>
      </c>
      <c r="I145" s="629">
        <f t="shared" si="24"/>
        <v>0</v>
      </c>
      <c r="J145" s="505">
        <f t="shared" si="27"/>
        <v>0</v>
      </c>
      <c r="K145" s="505"/>
      <c r="L145" s="513"/>
      <c r="M145" s="505">
        <f t="shared" si="28"/>
        <v>0</v>
      </c>
      <c r="N145" s="513"/>
      <c r="O145" s="505">
        <f t="shared" si="29"/>
        <v>0</v>
      </c>
      <c r="P145" s="505">
        <f t="shared" si="30"/>
        <v>0</v>
      </c>
    </row>
    <row r="146" spans="2:16" ht="12.5">
      <c r="B146" s="145" t="str">
        <f t="shared" si="15"/>
        <v/>
      </c>
      <c r="C146" s="496">
        <f>IF(D94="","-",+C145+1)</f>
        <v>2063</v>
      </c>
      <c r="D146" s="350">
        <f>IF(F145+SUM(E$100:E145)=D$93,F145,D$93-SUM(E$100:E145))</f>
        <v>0</v>
      </c>
      <c r="E146" s="510">
        <f t="shared" si="31"/>
        <v>0</v>
      </c>
      <c r="F146" s="511">
        <f t="shared" si="25"/>
        <v>0</v>
      </c>
      <c r="G146" s="511">
        <f t="shared" si="26"/>
        <v>0</v>
      </c>
      <c r="H146" s="628">
        <f t="shared" si="23"/>
        <v>0</v>
      </c>
      <c r="I146" s="629">
        <f t="shared" si="24"/>
        <v>0</v>
      </c>
      <c r="J146" s="505">
        <f t="shared" si="27"/>
        <v>0</v>
      </c>
      <c r="K146" s="505"/>
      <c r="L146" s="513"/>
      <c r="M146" s="505">
        <f t="shared" si="28"/>
        <v>0</v>
      </c>
      <c r="N146" s="513"/>
      <c r="O146" s="505">
        <f t="shared" si="29"/>
        <v>0</v>
      </c>
      <c r="P146" s="505">
        <f t="shared" si="30"/>
        <v>0</v>
      </c>
    </row>
    <row r="147" spans="2:16" ht="12.5">
      <c r="B147" s="145" t="str">
        <f t="shared" si="15"/>
        <v/>
      </c>
      <c r="C147" s="496">
        <f>IF(D94="","-",+C146+1)</f>
        <v>2064</v>
      </c>
      <c r="D147" s="350">
        <f>IF(F146+SUM(E$100:E146)=D$93,F146,D$93-SUM(E$100:E146))</f>
        <v>0</v>
      </c>
      <c r="E147" s="510">
        <f t="shared" si="31"/>
        <v>0</v>
      </c>
      <c r="F147" s="511">
        <f t="shared" si="25"/>
        <v>0</v>
      </c>
      <c r="G147" s="511">
        <f t="shared" si="26"/>
        <v>0</v>
      </c>
      <c r="H147" s="628">
        <f t="shared" si="23"/>
        <v>0</v>
      </c>
      <c r="I147" s="629">
        <f t="shared" si="24"/>
        <v>0</v>
      </c>
      <c r="J147" s="505">
        <f t="shared" si="27"/>
        <v>0</v>
      </c>
      <c r="K147" s="505"/>
      <c r="L147" s="513"/>
      <c r="M147" s="505">
        <f t="shared" si="28"/>
        <v>0</v>
      </c>
      <c r="N147" s="513"/>
      <c r="O147" s="505">
        <f t="shared" si="29"/>
        <v>0</v>
      </c>
      <c r="P147" s="505">
        <f t="shared" si="30"/>
        <v>0</v>
      </c>
    </row>
    <row r="148" spans="2:16" ht="12.5">
      <c r="B148" s="145" t="str">
        <f t="shared" si="15"/>
        <v/>
      </c>
      <c r="C148" s="496">
        <f>IF(D94="","-",+C147+1)</f>
        <v>2065</v>
      </c>
      <c r="D148" s="350">
        <f>IF(F147+SUM(E$100:E147)=D$93,F147,D$93-SUM(E$100:E147))</f>
        <v>0</v>
      </c>
      <c r="E148" s="510">
        <f t="shared" si="31"/>
        <v>0</v>
      </c>
      <c r="F148" s="511">
        <f t="shared" si="25"/>
        <v>0</v>
      </c>
      <c r="G148" s="511">
        <f t="shared" si="26"/>
        <v>0</v>
      </c>
      <c r="H148" s="628">
        <f t="shared" si="23"/>
        <v>0</v>
      </c>
      <c r="I148" s="629">
        <f t="shared" si="24"/>
        <v>0</v>
      </c>
      <c r="J148" s="505">
        <f t="shared" si="27"/>
        <v>0</v>
      </c>
      <c r="K148" s="505"/>
      <c r="L148" s="513"/>
      <c r="M148" s="505">
        <f t="shared" si="28"/>
        <v>0</v>
      </c>
      <c r="N148" s="513"/>
      <c r="O148" s="505">
        <f t="shared" si="29"/>
        <v>0</v>
      </c>
      <c r="P148" s="505">
        <f t="shared" si="30"/>
        <v>0</v>
      </c>
    </row>
    <row r="149" spans="2:16" ht="12.5">
      <c r="B149" s="145" t="str">
        <f t="shared" si="15"/>
        <v/>
      </c>
      <c r="C149" s="496">
        <f>IF(D94="","-",+C148+1)</f>
        <v>2066</v>
      </c>
      <c r="D149" s="350">
        <f>IF(F148+SUM(E$100:E148)=D$93,F148,D$93-SUM(E$100:E148))</f>
        <v>0</v>
      </c>
      <c r="E149" s="510">
        <f t="shared" si="31"/>
        <v>0</v>
      </c>
      <c r="F149" s="511">
        <f t="shared" si="25"/>
        <v>0</v>
      </c>
      <c r="G149" s="511">
        <f t="shared" si="26"/>
        <v>0</v>
      </c>
      <c r="H149" s="628">
        <f t="shared" si="23"/>
        <v>0</v>
      </c>
      <c r="I149" s="629">
        <f t="shared" si="24"/>
        <v>0</v>
      </c>
      <c r="J149" s="505">
        <f t="shared" si="27"/>
        <v>0</v>
      </c>
      <c r="K149" s="505"/>
      <c r="L149" s="513"/>
      <c r="M149" s="505">
        <f t="shared" si="28"/>
        <v>0</v>
      </c>
      <c r="N149" s="513"/>
      <c r="O149" s="505">
        <f t="shared" si="29"/>
        <v>0</v>
      </c>
      <c r="P149" s="505">
        <f t="shared" si="30"/>
        <v>0</v>
      </c>
    </row>
    <row r="150" spans="2:16" ht="12.5">
      <c r="B150" s="145" t="str">
        <f t="shared" si="15"/>
        <v/>
      </c>
      <c r="C150" s="496">
        <f>IF(D94="","-",+C149+1)</f>
        <v>2067</v>
      </c>
      <c r="D150" s="350">
        <f>IF(F149+SUM(E$100:E149)=D$93,F149,D$93-SUM(E$100:E149))</f>
        <v>0</v>
      </c>
      <c r="E150" s="510">
        <f t="shared" si="31"/>
        <v>0</v>
      </c>
      <c r="F150" s="511">
        <f t="shared" si="25"/>
        <v>0</v>
      </c>
      <c r="G150" s="511">
        <f t="shared" si="26"/>
        <v>0</v>
      </c>
      <c r="H150" s="628">
        <f t="shared" si="23"/>
        <v>0</v>
      </c>
      <c r="I150" s="629">
        <f t="shared" si="24"/>
        <v>0</v>
      </c>
      <c r="J150" s="505">
        <f t="shared" si="27"/>
        <v>0</v>
      </c>
      <c r="K150" s="505"/>
      <c r="L150" s="513"/>
      <c r="M150" s="505">
        <f t="shared" si="28"/>
        <v>0</v>
      </c>
      <c r="N150" s="513"/>
      <c r="O150" s="505">
        <f t="shared" si="29"/>
        <v>0</v>
      </c>
      <c r="P150" s="505">
        <f t="shared" si="30"/>
        <v>0</v>
      </c>
    </row>
    <row r="151" spans="2:16" ht="12.5">
      <c r="B151" s="145" t="str">
        <f t="shared" si="15"/>
        <v/>
      </c>
      <c r="C151" s="496">
        <f>IF(D94="","-",+C150+1)</f>
        <v>2068</v>
      </c>
      <c r="D151" s="350">
        <f>IF(F150+SUM(E$100:E150)=D$93,F150,D$93-SUM(E$100:E150))</f>
        <v>0</v>
      </c>
      <c r="E151" s="510">
        <f t="shared" si="31"/>
        <v>0</v>
      </c>
      <c r="F151" s="511">
        <f t="shared" si="25"/>
        <v>0</v>
      </c>
      <c r="G151" s="511">
        <f t="shared" si="26"/>
        <v>0</v>
      </c>
      <c r="H151" s="628">
        <f t="shared" si="23"/>
        <v>0</v>
      </c>
      <c r="I151" s="629">
        <f t="shared" si="24"/>
        <v>0</v>
      </c>
      <c r="J151" s="505">
        <f t="shared" si="27"/>
        <v>0</v>
      </c>
      <c r="K151" s="505"/>
      <c r="L151" s="513"/>
      <c r="M151" s="505">
        <f t="shared" si="28"/>
        <v>0</v>
      </c>
      <c r="N151" s="513"/>
      <c r="O151" s="505">
        <f t="shared" si="29"/>
        <v>0</v>
      </c>
      <c r="P151" s="505">
        <f t="shared" si="30"/>
        <v>0</v>
      </c>
    </row>
    <row r="152" spans="2:16" ht="12.5">
      <c r="B152" s="145" t="str">
        <f t="shared" si="15"/>
        <v/>
      </c>
      <c r="C152" s="496">
        <f>IF(D94="","-",+C151+1)</f>
        <v>2069</v>
      </c>
      <c r="D152" s="350">
        <f>IF(F151+SUM(E$100:E151)=D$93,F151,D$93-SUM(E$100:E151))</f>
        <v>0</v>
      </c>
      <c r="E152" s="510">
        <f t="shared" si="31"/>
        <v>0</v>
      </c>
      <c r="F152" s="511">
        <f t="shared" si="25"/>
        <v>0</v>
      </c>
      <c r="G152" s="511">
        <f t="shared" si="26"/>
        <v>0</v>
      </c>
      <c r="H152" s="628">
        <f t="shared" si="23"/>
        <v>0</v>
      </c>
      <c r="I152" s="629">
        <f t="shared" si="24"/>
        <v>0</v>
      </c>
      <c r="J152" s="505">
        <f t="shared" si="27"/>
        <v>0</v>
      </c>
      <c r="K152" s="505"/>
      <c r="L152" s="513"/>
      <c r="M152" s="505">
        <f t="shared" si="28"/>
        <v>0</v>
      </c>
      <c r="N152" s="513"/>
      <c r="O152" s="505">
        <f t="shared" si="29"/>
        <v>0</v>
      </c>
      <c r="P152" s="505">
        <f t="shared" si="30"/>
        <v>0</v>
      </c>
    </row>
    <row r="153" spans="2:16" ht="12.5">
      <c r="B153" s="145" t="str">
        <f t="shared" si="15"/>
        <v/>
      </c>
      <c r="C153" s="496">
        <f>IF(D94="","-",+C152+1)</f>
        <v>2070</v>
      </c>
      <c r="D153" s="350">
        <f>IF(F152+SUM(E$100:E152)=D$93,F152,D$93-SUM(E$100:E152))</f>
        <v>0</v>
      </c>
      <c r="E153" s="510">
        <f t="shared" si="31"/>
        <v>0</v>
      </c>
      <c r="F153" s="511">
        <f t="shared" si="25"/>
        <v>0</v>
      </c>
      <c r="G153" s="511">
        <f t="shared" si="26"/>
        <v>0</v>
      </c>
      <c r="H153" s="628">
        <f t="shared" si="23"/>
        <v>0</v>
      </c>
      <c r="I153" s="629">
        <f t="shared" si="24"/>
        <v>0</v>
      </c>
      <c r="J153" s="505">
        <f t="shared" si="27"/>
        <v>0</v>
      </c>
      <c r="K153" s="505"/>
      <c r="L153" s="513"/>
      <c r="M153" s="505">
        <f t="shared" si="28"/>
        <v>0</v>
      </c>
      <c r="N153" s="513"/>
      <c r="O153" s="505">
        <f t="shared" si="29"/>
        <v>0</v>
      </c>
      <c r="P153" s="505">
        <f t="shared" si="30"/>
        <v>0</v>
      </c>
    </row>
    <row r="154" spans="2:16" ht="12.5">
      <c r="B154" s="145" t="str">
        <f t="shared" si="15"/>
        <v/>
      </c>
      <c r="C154" s="496">
        <f>IF(D94="","-",+C153+1)</f>
        <v>2071</v>
      </c>
      <c r="D154" s="350">
        <f>IF(F153+SUM(E$100:E153)=D$93,F153,D$93-SUM(E$100:E153))</f>
        <v>0</v>
      </c>
      <c r="E154" s="510">
        <f t="shared" si="31"/>
        <v>0</v>
      </c>
      <c r="F154" s="511">
        <f t="shared" si="25"/>
        <v>0</v>
      </c>
      <c r="G154" s="511">
        <f t="shared" si="26"/>
        <v>0</v>
      </c>
      <c r="H154" s="628">
        <f t="shared" si="23"/>
        <v>0</v>
      </c>
      <c r="I154" s="629">
        <f t="shared" si="24"/>
        <v>0</v>
      </c>
      <c r="J154" s="505">
        <f t="shared" si="27"/>
        <v>0</v>
      </c>
      <c r="K154" s="505"/>
      <c r="L154" s="513"/>
      <c r="M154" s="505">
        <f t="shared" si="28"/>
        <v>0</v>
      </c>
      <c r="N154" s="513"/>
      <c r="O154" s="505">
        <f t="shared" si="29"/>
        <v>0</v>
      </c>
      <c r="P154" s="505">
        <f t="shared" si="30"/>
        <v>0</v>
      </c>
    </row>
    <row r="155" spans="2:16" ht="13" thickBot="1">
      <c r="B155" s="145" t="str">
        <f t="shared" si="15"/>
        <v/>
      </c>
      <c r="C155" s="525">
        <f>IF(D94="","-",+C154+1)</f>
        <v>2072</v>
      </c>
      <c r="D155" s="639">
        <f>IF(F154+SUM(E$100:E154)=D$93,F154,D$93-SUM(E$100:E154))</f>
        <v>0</v>
      </c>
      <c r="E155" s="527">
        <f t="shared" si="31"/>
        <v>0</v>
      </c>
      <c r="F155" s="528">
        <f t="shared" si="25"/>
        <v>0</v>
      </c>
      <c r="G155" s="528">
        <f t="shared" si="26"/>
        <v>0</v>
      </c>
      <c r="H155" s="624">
        <f t="shared" si="23"/>
        <v>0</v>
      </c>
      <c r="I155" s="625">
        <f t="shared" si="24"/>
        <v>0</v>
      </c>
      <c r="J155" s="532">
        <f t="shared" si="27"/>
        <v>0</v>
      </c>
      <c r="K155" s="505"/>
      <c r="L155" s="531"/>
      <c r="M155" s="532">
        <f t="shared" si="28"/>
        <v>0</v>
      </c>
      <c r="N155" s="531"/>
      <c r="O155" s="532">
        <f t="shared" si="29"/>
        <v>0</v>
      </c>
      <c r="P155" s="532">
        <f t="shared" si="30"/>
        <v>0</v>
      </c>
    </row>
    <row r="156" spans="2:16" ht="12.5">
      <c r="C156" s="350" t="s">
        <v>75</v>
      </c>
      <c r="D156" s="295"/>
      <c r="E156" s="295">
        <f>SUM(E100:E155)</f>
        <v>9589270</v>
      </c>
      <c r="F156" s="295"/>
      <c r="G156" s="295"/>
      <c r="H156" s="295">
        <f>SUM(H100:H155)</f>
        <v>26944721.010303795</v>
      </c>
      <c r="I156" s="295">
        <f>SUM(I100:I155)</f>
        <v>26944721.010303795</v>
      </c>
      <c r="J156" s="295">
        <f>SUM(J100:J155)</f>
        <v>0</v>
      </c>
      <c r="K156" s="295"/>
      <c r="L156" s="295"/>
      <c r="M156" s="295"/>
      <c r="N156" s="295"/>
      <c r="O156" s="295"/>
      <c r="P156" s="244"/>
    </row>
    <row r="157" spans="2:16" ht="12.5">
      <c r="C157" s="145" t="s">
        <v>90</v>
      </c>
      <c r="D157" s="293"/>
      <c r="E157" s="244"/>
      <c r="F157" s="244"/>
      <c r="G157" s="244"/>
      <c r="H157" s="244"/>
      <c r="I157" s="326"/>
      <c r="J157" s="326"/>
      <c r="K157" s="295"/>
      <c r="L157" s="326"/>
      <c r="M157" s="326"/>
      <c r="N157" s="326"/>
      <c r="O157" s="326"/>
      <c r="P157" s="244"/>
    </row>
    <row r="158" spans="2:16" ht="12.5">
      <c r="C158" s="575"/>
      <c r="D158" s="293"/>
      <c r="E158" s="244"/>
      <c r="F158" s="244"/>
      <c r="G158" s="244"/>
      <c r="H158" s="244"/>
      <c r="I158" s="326"/>
      <c r="J158" s="326"/>
      <c r="K158" s="295"/>
      <c r="L158" s="326"/>
      <c r="M158" s="326"/>
      <c r="N158" s="326"/>
      <c r="O158" s="326"/>
      <c r="P158" s="244"/>
    </row>
    <row r="159" spans="2:16" ht="13">
      <c r="C159" s="620" t="s">
        <v>130</v>
      </c>
      <c r="D159" s="293"/>
      <c r="E159" s="244"/>
      <c r="F159" s="244"/>
      <c r="G159" s="244"/>
      <c r="H159" s="244"/>
      <c r="I159" s="326"/>
      <c r="J159" s="326"/>
      <c r="K159" s="295"/>
      <c r="L159" s="326"/>
      <c r="M159" s="326"/>
      <c r="N159" s="326"/>
      <c r="O159" s="326"/>
      <c r="P159" s="244"/>
    </row>
    <row r="160" spans="2:16" ht="13">
      <c r="C160" s="455" t="s">
        <v>76</v>
      </c>
      <c r="D160" s="350"/>
      <c r="E160" s="350"/>
      <c r="F160" s="350"/>
      <c r="G160" s="350"/>
      <c r="H160" s="295"/>
      <c r="I160" s="295"/>
      <c r="J160" s="351"/>
      <c r="K160" s="351"/>
      <c r="L160" s="351"/>
      <c r="M160" s="351"/>
      <c r="N160" s="351"/>
      <c r="O160" s="351"/>
      <c r="P160" s="244"/>
    </row>
    <row r="161" spans="3:16" ht="13">
      <c r="C161" s="576" t="s">
        <v>77</v>
      </c>
      <c r="D161" s="350"/>
      <c r="E161" s="350"/>
      <c r="F161" s="350"/>
      <c r="G161" s="350"/>
      <c r="H161" s="295"/>
      <c r="I161" s="295"/>
      <c r="J161" s="351"/>
      <c r="K161" s="351"/>
      <c r="L161" s="351"/>
      <c r="M161" s="351"/>
      <c r="N161" s="351"/>
      <c r="O161" s="351"/>
      <c r="P161" s="244"/>
    </row>
    <row r="162" spans="3:16" ht="13">
      <c r="C162" s="576"/>
      <c r="D162" s="350"/>
      <c r="E162" s="350"/>
      <c r="F162" s="350"/>
      <c r="G162" s="350"/>
      <c r="H162" s="295"/>
      <c r="I162" s="295"/>
      <c r="J162" s="351"/>
      <c r="K162" s="351"/>
      <c r="L162" s="351"/>
      <c r="M162" s="351"/>
      <c r="N162" s="351"/>
      <c r="O162" s="351"/>
      <c r="P162" s="244"/>
    </row>
    <row r="163" spans="3:16" ht="17.5">
      <c r="C163" s="576"/>
      <c r="D163" s="350"/>
      <c r="E163" s="350"/>
      <c r="F163" s="350"/>
      <c r="G163" s="350"/>
      <c r="H163" s="295"/>
      <c r="I163" s="295"/>
      <c r="J163" s="351"/>
      <c r="K163" s="351"/>
      <c r="L163" s="351"/>
      <c r="M163" s="351"/>
      <c r="N163" s="351"/>
      <c r="P163" s="584" t="s">
        <v>129</v>
      </c>
    </row>
  </sheetData>
  <conditionalFormatting sqref="C17:C71 C73">
    <cfRule type="cellIs" dxfId="14" priority="2" stopIfTrue="1" operator="equal">
      <formula>$I$10</formula>
    </cfRule>
  </conditionalFormatting>
  <conditionalFormatting sqref="C100:C155">
    <cfRule type="cellIs" dxfId="13" priority="3" stopIfTrue="1" operator="equal">
      <formula>$J$93</formula>
    </cfRule>
  </conditionalFormatting>
  <conditionalFormatting sqref="C72">
    <cfRule type="cellIs" dxfId="12"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8"/>
  <dimension ref="A1:U133"/>
  <sheetViews>
    <sheetView zoomScale="80" zoomScaleNormal="80" zoomScaleSheetLayoutView="90" workbookViewId="0">
      <selection sqref="A1:J1"/>
    </sheetView>
  </sheetViews>
  <sheetFormatPr defaultColWidth="8.7265625" defaultRowHeight="12.75" customHeight="1"/>
  <cols>
    <col min="1" max="1" width="8.1796875" style="145" customWidth="1"/>
    <col min="2" max="2" width="6.7265625" style="145" customWidth="1"/>
    <col min="3" max="3" width="23.26953125" style="145" customWidth="1"/>
    <col min="4" max="8" width="17.7265625" style="145" customWidth="1"/>
    <col min="9" max="9" width="16.1796875" style="145" customWidth="1"/>
    <col min="10" max="10" width="2.1796875" style="145" customWidth="1"/>
    <col min="11" max="11" width="17.7265625" style="145" customWidth="1"/>
    <col min="12" max="12" width="16.1796875" style="145" customWidth="1"/>
    <col min="13" max="13" width="17.7265625" style="145" customWidth="1"/>
    <col min="14" max="14" width="16.7265625" style="145" customWidth="1"/>
    <col min="15" max="15" width="22.453125" style="145" customWidth="1"/>
    <col min="16" max="16" width="3.54296875" style="145" bestFit="1" customWidth="1"/>
    <col min="17" max="17" width="4.7265625" style="145" customWidth="1"/>
    <col min="18" max="18" width="15.453125" style="145" customWidth="1"/>
    <col min="19" max="19" width="81.81640625" style="145" bestFit="1" customWidth="1"/>
    <col min="20" max="22" width="8.7265625" style="145"/>
    <col min="23" max="23" width="9.1796875" style="145" customWidth="1"/>
    <col min="24" max="16384" width="8.7265625" style="145"/>
  </cols>
  <sheetData>
    <row r="1" spans="1:21" ht="17.5">
      <c r="A1" s="659" t="s">
        <v>109</v>
      </c>
      <c r="B1" s="660"/>
      <c r="C1" s="660"/>
      <c r="D1" s="660"/>
      <c r="E1" s="660"/>
      <c r="F1" s="660"/>
      <c r="G1" s="660"/>
      <c r="H1" s="660"/>
      <c r="I1" s="660"/>
      <c r="J1" s="660"/>
      <c r="U1" s="145">
        <v>2017</v>
      </c>
    </row>
    <row r="2" spans="1:21" ht="17.5">
      <c r="A2" s="662" t="str">
        <f>L19&amp;" Cost of Service Formula Rate Projected on "&amp;L19-1&amp;" FF1 Balances"</f>
        <v>2019 Cost of Service Formula Rate Projected on 2018 FF1 Balances</v>
      </c>
      <c r="B2" s="662"/>
      <c r="C2" s="662"/>
      <c r="D2" s="662"/>
      <c r="E2" s="662"/>
      <c r="F2" s="662"/>
      <c r="G2" s="662"/>
      <c r="H2" s="662"/>
      <c r="I2" s="662"/>
      <c r="J2" s="662"/>
    </row>
    <row r="3" spans="1:21" ht="18">
      <c r="A3" s="661" t="s">
        <v>124</v>
      </c>
      <c r="B3" s="662"/>
      <c r="C3" s="662"/>
      <c r="D3" s="662"/>
      <c r="E3" s="662"/>
      <c r="F3" s="662"/>
      <c r="G3" s="662"/>
      <c r="H3" s="662"/>
      <c r="I3" s="662"/>
      <c r="J3" s="662"/>
      <c r="Q3" s="233" t="s">
        <v>110</v>
      </c>
    </row>
    <row r="4" spans="1:21" ht="17.5">
      <c r="A4" s="662" t="str">
        <f>"Based on a Carrying Charge Derived from ""Historic"" "&amp;L19-1&amp;" Data"</f>
        <v>Based on a Carrying Charge Derived from "Historic" 2018 Data</v>
      </c>
      <c r="B4" s="662"/>
      <c r="C4" s="662"/>
      <c r="D4" s="662"/>
      <c r="E4" s="662"/>
      <c r="F4" s="662"/>
      <c r="G4" s="662"/>
      <c r="H4" s="662"/>
      <c r="I4" s="662"/>
      <c r="J4" s="662"/>
      <c r="K4" s="662"/>
    </row>
    <row r="5" spans="1:21" ht="18">
      <c r="A5" s="663" t="s">
        <v>188</v>
      </c>
      <c r="B5" s="663"/>
      <c r="C5" s="663"/>
      <c r="D5" s="663"/>
      <c r="E5" s="663"/>
      <c r="F5" s="663"/>
      <c r="G5" s="663"/>
      <c r="H5" s="663"/>
      <c r="I5" s="663"/>
      <c r="J5" s="663"/>
    </row>
    <row r="6" spans="1:21" ht="18">
      <c r="A6" s="151"/>
      <c r="B6" s="151"/>
      <c r="C6" s="151"/>
      <c r="D6" s="151"/>
      <c r="E6" s="151"/>
      <c r="F6" s="151"/>
      <c r="G6" s="151"/>
      <c r="H6" s="151"/>
      <c r="I6" s="151"/>
      <c r="J6" s="151"/>
    </row>
    <row r="7" spans="1:21" ht="12.5">
      <c r="D7" s="157"/>
      <c r="H7" s="213"/>
      <c r="J7" s="221"/>
    </row>
    <row r="8" spans="1:21" ht="33.75" customHeight="1">
      <c r="B8" s="234" t="s">
        <v>0</v>
      </c>
      <c r="C8" s="656" t="str">
        <f>"Calculate Return and Income Taxes with "&amp;F13&amp;" basis point ROE increase for Projects Qualified for Incentive."</f>
        <v>Calculate Return and Income Taxes with 0 basis point ROE increase for Projects Qualified for Incentive.</v>
      </c>
      <c r="D8" s="657"/>
      <c r="E8" s="657"/>
      <c r="F8" s="657"/>
      <c r="G8" s="657"/>
      <c r="H8" s="657"/>
      <c r="J8" s="221"/>
      <c r="R8" s="235"/>
    </row>
    <row r="9" spans="1:21" ht="12.5">
      <c r="D9" s="157"/>
      <c r="H9" s="213"/>
      <c r="J9" s="221"/>
    </row>
    <row r="10" spans="1:21" ht="15.5">
      <c r="C10" s="236" t="str">
        <f>"A.   Determine 'R' with hypothetical "&amp;F13&amp;" basis point increase in ROE for Identified Projects"</f>
        <v>A.   Determine 'R' with hypothetical 0 basis point increase in ROE for Identified Projects</v>
      </c>
      <c r="D10" s="157"/>
      <c r="H10" s="213"/>
      <c r="J10" s="221"/>
    </row>
    <row r="11" spans="1:21" ht="12.5">
      <c r="D11" s="157"/>
      <c r="H11" s="213"/>
      <c r="J11" s="221"/>
    </row>
    <row r="12" spans="1:21" ht="12.5">
      <c r="C12" s="237" t="str">
        <f>S101</f>
        <v xml:space="preserve">   ROE w/o incentives  (TCOS, ln 143)</v>
      </c>
      <c r="D12" s="157"/>
      <c r="E12" s="238"/>
      <c r="F12" s="239">
        <f>+R101</f>
        <v>0.105</v>
      </c>
      <c r="G12" s="240"/>
      <c r="H12" s="241"/>
      <c r="I12" s="242"/>
      <c r="J12" s="243"/>
      <c r="K12" s="242"/>
      <c r="L12" s="242"/>
      <c r="M12" s="242"/>
      <c r="N12" s="242"/>
      <c r="O12" s="238"/>
      <c r="P12" s="242"/>
      <c r="Q12" s="244"/>
      <c r="U12" s="245"/>
    </row>
    <row r="13" spans="1:21" ht="12.5">
      <c r="C13" s="237" t="s">
        <v>1</v>
      </c>
      <c r="D13" s="157"/>
      <c r="E13" s="238"/>
      <c r="F13" s="246">
        <f>+R102</f>
        <v>0</v>
      </c>
      <c r="G13" s="145" t="s">
        <v>133</v>
      </c>
      <c r="K13" s="242"/>
      <c r="L13" s="242"/>
      <c r="M13" s="242"/>
      <c r="N13" s="242"/>
      <c r="O13" s="238"/>
      <c r="P13" s="242"/>
      <c r="Q13" s="244"/>
      <c r="U13" s="245"/>
    </row>
    <row r="14" spans="1:21" ht="13.5" thickBot="1">
      <c r="C14" s="237" t="str">
        <f>"   ROE with additional "&amp;F13&amp;" basis point incentive"</f>
        <v xml:space="preserve">   ROE with additional 0 basis point incentive</v>
      </c>
      <c r="D14" s="238"/>
      <c r="E14" s="238"/>
      <c r="F14" s="247">
        <f>IF((F12+(F13/10000)&gt;0.1245),"ERROR",F12+(F13/10000))</f>
        <v>0.105</v>
      </c>
      <c r="G14" s="248" t="s">
        <v>2</v>
      </c>
      <c r="H14" s="242"/>
      <c r="I14" s="242"/>
      <c r="J14" s="243"/>
      <c r="K14" s="242"/>
      <c r="L14" s="242"/>
      <c r="M14" s="242"/>
      <c r="N14" s="242"/>
      <c r="O14" s="238"/>
      <c r="P14" s="242"/>
      <c r="Q14" s="244"/>
      <c r="U14" s="249"/>
    </row>
    <row r="15" spans="1:21" ht="12.5">
      <c r="C15" s="237" t="s">
        <v>3</v>
      </c>
      <c r="D15" s="157"/>
      <c r="E15" s="238"/>
      <c r="F15" s="247"/>
      <c r="G15" s="238"/>
      <c r="H15" s="242"/>
      <c r="I15" s="242"/>
      <c r="J15" s="243"/>
      <c r="K15" s="650" t="s">
        <v>4</v>
      </c>
      <c r="L15" s="651"/>
      <c r="M15" s="651"/>
      <c r="N15" s="651"/>
      <c r="O15" s="652"/>
      <c r="P15" s="242"/>
      <c r="Q15" s="244"/>
      <c r="U15" s="249"/>
    </row>
    <row r="16" spans="1:21" ht="12.5">
      <c r="C16" s="243"/>
      <c r="D16" s="250" t="s">
        <v>5</v>
      </c>
      <c r="E16" s="250" t="s">
        <v>6</v>
      </c>
      <c r="F16" s="251" t="s">
        <v>7</v>
      </c>
      <c r="G16" s="238"/>
      <c r="H16" s="242"/>
      <c r="I16" s="242"/>
      <c r="J16" s="243"/>
      <c r="K16" s="653"/>
      <c r="L16" s="654"/>
      <c r="M16" s="654"/>
      <c r="N16" s="654"/>
      <c r="O16" s="655"/>
      <c r="P16" s="242"/>
      <c r="Q16" s="244"/>
    </row>
    <row r="17" spans="3:21" ht="12.5">
      <c r="C17" s="252" t="s">
        <v>8</v>
      </c>
      <c r="D17" s="253">
        <f>+R103</f>
        <v>0.50222415357443884</v>
      </c>
      <c r="E17" s="254">
        <f>+R104</f>
        <v>4.0794729780917298E-2</v>
      </c>
      <c r="F17" s="255">
        <f>E17*D17</f>
        <v>2.0488098634519142E-2</v>
      </c>
      <c r="G17" s="238"/>
      <c r="H17" s="242"/>
      <c r="I17" s="256"/>
      <c r="J17" s="257"/>
      <c r="K17" s="258"/>
      <c r="L17" s="259"/>
      <c r="M17" s="243" t="s">
        <v>9</v>
      </c>
      <c r="N17" s="243" t="s">
        <v>10</v>
      </c>
      <c r="O17" s="260" t="s">
        <v>11</v>
      </c>
      <c r="P17" s="242"/>
      <c r="Q17" s="244"/>
      <c r="U17" s="242"/>
    </row>
    <row r="18" spans="3:21" ht="12.5">
      <c r="C18" s="252" t="s">
        <v>12</v>
      </c>
      <c r="D18" s="253">
        <f>+R105</f>
        <v>0</v>
      </c>
      <c r="E18" s="254">
        <f>+R106</f>
        <v>0</v>
      </c>
      <c r="F18" s="255">
        <f>E18*D18</f>
        <v>0</v>
      </c>
      <c r="G18" s="261"/>
      <c r="H18" s="261"/>
      <c r="I18" s="262"/>
      <c r="J18" s="263"/>
      <c r="K18" s="264"/>
      <c r="L18" s="221"/>
      <c r="M18" s="221"/>
      <c r="N18" s="221"/>
      <c r="O18" s="265"/>
      <c r="P18" s="261"/>
      <c r="Q18" s="244"/>
      <c r="U18" s="249"/>
    </row>
    <row r="19" spans="3:21" ht="13" thickBot="1">
      <c r="C19" s="266" t="s">
        <v>13</v>
      </c>
      <c r="D19" s="253">
        <f>+R107</f>
        <v>0.49777584642556127</v>
      </c>
      <c r="E19" s="254">
        <f>+F14</f>
        <v>0.105</v>
      </c>
      <c r="F19" s="267">
        <f>E19*D19</f>
        <v>5.2266463874683929E-2</v>
      </c>
      <c r="G19" s="261"/>
      <c r="H19" s="261"/>
      <c r="I19" s="247"/>
      <c r="J19" s="263"/>
      <c r="K19" s="268" t="s">
        <v>14</v>
      </c>
      <c r="L19" s="269">
        <f>R100</f>
        <v>2019</v>
      </c>
      <c r="M19" s="270">
        <f>SUM('OKT.001:OKT.xyz - blank'!N5)</f>
        <v>36715956.554148674</v>
      </c>
      <c r="N19" s="270">
        <f>SUM('OKT.001:OKT.xyz - blank'!N6)</f>
        <v>36715956.554148674</v>
      </c>
      <c r="O19" s="271">
        <f>+N19-M19</f>
        <v>0</v>
      </c>
      <c r="P19" s="262"/>
      <c r="Q19" s="244"/>
      <c r="U19" s="249"/>
    </row>
    <row r="20" spans="3:21" ht="12.5">
      <c r="C20" s="237"/>
      <c r="D20" s="238"/>
      <c r="E20" s="272" t="s">
        <v>15</v>
      </c>
      <c r="F20" s="255">
        <f>SUM(F17:F19)</f>
        <v>7.2754562509203063E-2</v>
      </c>
      <c r="G20" s="261"/>
      <c r="H20" s="261"/>
      <c r="I20" s="262"/>
      <c r="J20" s="263"/>
      <c r="M20" s="273" t="str">
        <f>IF(M19=SUM('OKT.001:OKT.xyz - blank'!N5),"","ERROR")</f>
        <v/>
      </c>
      <c r="N20" s="273" t="str">
        <f>IF(N19=SUM('OKT.001:OKT.xyz - blank'!N6),"","ERROR")</f>
        <v/>
      </c>
      <c r="O20" s="273" t="str">
        <f>IF(O19=SUM('OKT.001:OKT.xyz - blank'!N7),"","ERROR")</f>
        <v/>
      </c>
      <c r="P20" s="261"/>
      <c r="Q20" s="244"/>
      <c r="U20" s="249"/>
    </row>
    <row r="21" spans="3:21" ht="13">
      <c r="D21" s="274"/>
      <c r="E21" s="274"/>
      <c r="F21" s="261"/>
      <c r="G21" s="261"/>
      <c r="H21" s="261"/>
      <c r="I21" s="261"/>
      <c r="J21" s="275"/>
      <c r="K21" s="175" t="s">
        <v>16</v>
      </c>
      <c r="P21" s="261"/>
      <c r="Q21" s="244"/>
      <c r="U21" s="249"/>
    </row>
    <row r="22" spans="3:21" ht="15.5">
      <c r="C22" s="236" t="str">
        <f>"B.   Determine Return using 'R' with hypothetical "&amp;F13&amp;" basis point ROE increase for Identified Projects."</f>
        <v>B.   Determine Return using 'R' with hypothetical 0 basis point ROE increase for Identified Projects.</v>
      </c>
      <c r="D22" s="274"/>
      <c r="E22" s="274"/>
      <c r="F22" s="276"/>
      <c r="G22" s="261"/>
      <c r="H22" s="238"/>
      <c r="I22" s="261"/>
      <c r="J22" s="275"/>
      <c r="K22" s="145" t="s">
        <v>17</v>
      </c>
      <c r="P22" s="261"/>
      <c r="Q22" s="244"/>
      <c r="U22" s="249"/>
    </row>
    <row r="23" spans="3:21" ht="12.5">
      <c r="C23" s="243"/>
      <c r="D23" s="274"/>
      <c r="E23" s="274"/>
      <c r="F23" s="275"/>
      <c r="G23" s="275"/>
      <c r="H23" s="275"/>
      <c r="I23" s="275"/>
      <c r="J23" s="275"/>
      <c r="K23" s="262"/>
      <c r="L23" s="277"/>
      <c r="M23" s="278"/>
      <c r="N23" s="262"/>
      <c r="O23" s="261"/>
      <c r="P23" s="275"/>
      <c r="Q23" s="279"/>
      <c r="U23" s="249"/>
    </row>
    <row r="24" spans="3:21" ht="12.5">
      <c r="C24" s="237" t="str">
        <f>+S108</f>
        <v xml:space="preserve">   Rate Base  (TCOS, ln 63)</v>
      </c>
      <c r="D24" s="238"/>
      <c r="E24" s="280">
        <f>+R108</f>
        <v>699396112.08829069</v>
      </c>
      <c r="F24" s="281"/>
      <c r="G24" s="275"/>
      <c r="H24" s="275"/>
      <c r="I24" s="275"/>
      <c r="J24" s="275"/>
      <c r="K24" s="275"/>
      <c r="L24" s="275"/>
      <c r="M24" s="275"/>
      <c r="N24" s="275"/>
      <c r="O24" s="275"/>
      <c r="P24" s="281"/>
      <c r="Q24" s="279"/>
      <c r="U24" s="249"/>
    </row>
    <row r="25" spans="3:21" ht="12.5">
      <c r="C25" s="243" t="s">
        <v>18</v>
      </c>
      <c r="D25" s="240"/>
      <c r="E25" s="282">
        <f>F20</f>
        <v>7.2754562509203063E-2</v>
      </c>
      <c r="F25" s="275"/>
      <c r="G25" s="275"/>
      <c r="H25" s="275"/>
      <c r="I25" s="275"/>
      <c r="J25" s="275"/>
      <c r="K25" s="275"/>
      <c r="L25" s="275"/>
      <c r="M25" s="283"/>
      <c r="N25" s="275"/>
      <c r="O25" s="275"/>
      <c r="P25" s="275"/>
      <c r="Q25" s="279"/>
      <c r="U25" s="249"/>
    </row>
    <row r="26" spans="3:21" ht="12.5">
      <c r="C26" s="284" t="s">
        <v>19</v>
      </c>
      <c r="D26" s="284"/>
      <c r="E26" s="262">
        <f>E24*E25</f>
        <v>50884258.155621134</v>
      </c>
      <c r="F26" s="275"/>
      <c r="G26" s="275"/>
      <c r="H26" s="275"/>
      <c r="I26" s="263"/>
      <c r="J26" s="263"/>
      <c r="K26" s="263"/>
      <c r="L26" s="263"/>
      <c r="M26" s="263"/>
      <c r="N26" s="263"/>
      <c r="O26" s="275"/>
      <c r="P26" s="275"/>
      <c r="Q26" s="279"/>
      <c r="U26" s="249"/>
    </row>
    <row r="27" spans="3:21" ht="12.5">
      <c r="C27" s="285"/>
      <c r="D27" s="242"/>
      <c r="E27" s="242"/>
      <c r="F27" s="275"/>
      <c r="G27" s="275"/>
      <c r="H27" s="275"/>
      <c r="I27" s="263"/>
      <c r="J27" s="263"/>
      <c r="K27" s="263"/>
      <c r="L27" s="263"/>
      <c r="M27" s="263"/>
      <c r="N27" s="263"/>
      <c r="O27" s="275"/>
      <c r="P27" s="275"/>
      <c r="Q27" s="279"/>
      <c r="U27" s="249"/>
    </row>
    <row r="28" spans="3:21" ht="15.5">
      <c r="C28" s="236" t="str">
        <f>"C.   Determine Income Taxes using Return with hypothetical "&amp;F13&amp;" basis point ROE increase for Identified Projects."</f>
        <v>C.   Determine Income Taxes using Return with hypothetical 0 basis point ROE increase for Identified Projects.</v>
      </c>
      <c r="D28" s="286"/>
      <c r="E28" s="286"/>
      <c r="F28" s="287"/>
      <c r="G28" s="287"/>
      <c r="H28" s="287"/>
      <c r="I28" s="288"/>
      <c r="J28" s="288"/>
      <c r="K28" s="288"/>
      <c r="L28" s="288"/>
      <c r="M28" s="288"/>
      <c r="N28" s="288"/>
      <c r="O28" s="287"/>
      <c r="P28" s="287"/>
      <c r="Q28" s="279"/>
      <c r="U28" s="249"/>
    </row>
    <row r="29" spans="3:21" ht="13">
      <c r="C29" s="237"/>
      <c r="D29" s="242"/>
      <c r="E29" s="242"/>
      <c r="F29" s="275"/>
      <c r="G29" s="275"/>
      <c r="H29" s="275"/>
      <c r="I29" s="263"/>
      <c r="J29" s="263"/>
      <c r="K29" s="263"/>
      <c r="L29" s="263"/>
      <c r="M29" s="263"/>
      <c r="N29" s="263"/>
      <c r="O29" s="275"/>
      <c r="P29" s="275"/>
      <c r="Q29" s="279"/>
      <c r="U29" s="289"/>
    </row>
    <row r="30" spans="3:21" ht="12.5">
      <c r="C30" s="243" t="s">
        <v>20</v>
      </c>
      <c r="D30" s="290"/>
      <c r="E30" s="291">
        <f>E26</f>
        <v>50884258.155621134</v>
      </c>
      <c r="F30" s="275"/>
      <c r="G30" s="275"/>
      <c r="H30" s="275"/>
      <c r="I30" s="275"/>
      <c r="J30" s="275"/>
      <c r="K30" s="275"/>
      <c r="L30" s="275"/>
      <c r="M30" s="275"/>
      <c r="N30" s="275"/>
      <c r="O30" s="275"/>
      <c r="P30" s="275"/>
      <c r="Q30" s="279"/>
      <c r="U30" s="249"/>
    </row>
    <row r="31" spans="3:21" ht="12.5">
      <c r="C31" s="237" t="str">
        <f>+S109</f>
        <v xml:space="preserve">   Tax Rate  (TCOS, ln 99)</v>
      </c>
      <c r="D31" s="290"/>
      <c r="E31" s="292">
        <f>+R109</f>
        <v>0.38678999999999997</v>
      </c>
      <c r="F31" s="275"/>
      <c r="G31" s="275"/>
      <c r="H31" s="275"/>
      <c r="I31" s="275"/>
      <c r="J31" s="275"/>
      <c r="K31" s="275"/>
      <c r="L31" s="275"/>
      <c r="M31" s="275"/>
      <c r="N31" s="275"/>
      <c r="O31" s="275"/>
      <c r="P31" s="275"/>
      <c r="Q31" s="279"/>
      <c r="R31" s="221"/>
      <c r="S31" s="221"/>
      <c r="T31" s="221"/>
      <c r="U31" s="249"/>
    </row>
    <row r="32" spans="3:21" ht="12.5">
      <c r="C32" s="243" t="s">
        <v>21</v>
      </c>
      <c r="D32" s="293"/>
      <c r="E32" s="247">
        <f>IF(F17&gt;0,($E31/(1-$E31))*(1-$F17/$F20),0)</f>
        <v>0.45313634141214598</v>
      </c>
      <c r="F32" s="279"/>
      <c r="G32" s="294"/>
      <c r="H32" s="295"/>
      <c r="I32" s="279"/>
      <c r="J32" s="279"/>
      <c r="K32" s="279"/>
      <c r="L32" s="279"/>
      <c r="M32" s="279"/>
      <c r="N32" s="279"/>
      <c r="O32" s="279"/>
      <c r="P32" s="279"/>
      <c r="Q32" s="279"/>
      <c r="R32" s="221"/>
      <c r="S32" s="221"/>
      <c r="T32" s="221"/>
      <c r="U32" s="249"/>
    </row>
    <row r="33" spans="2:21" ht="12.5">
      <c r="C33" s="296" t="s">
        <v>22</v>
      </c>
      <c r="D33" s="297"/>
      <c r="E33" s="298">
        <f>E30*E32</f>
        <v>23057506.576109312</v>
      </c>
      <c r="F33" s="299"/>
      <c r="G33" s="279"/>
      <c r="H33" s="295"/>
      <c r="I33" s="279"/>
      <c r="J33" s="279"/>
      <c r="K33" s="279"/>
      <c r="L33" s="279"/>
      <c r="M33" s="279"/>
      <c r="N33" s="279"/>
      <c r="O33" s="279"/>
      <c r="P33" s="279"/>
      <c r="Q33" s="279"/>
      <c r="R33" s="221"/>
      <c r="S33" s="221"/>
      <c r="T33" s="221"/>
      <c r="U33" s="300"/>
    </row>
    <row r="34" spans="2:21" ht="15.5">
      <c r="C34" s="237" t="str">
        <f>+S110</f>
        <v xml:space="preserve">   ITC Adjustment  (TCOS, ln 108)</v>
      </c>
      <c r="D34" s="301"/>
      <c r="E34" s="302">
        <f>+R110</f>
        <v>0</v>
      </c>
      <c r="F34" s="301"/>
      <c r="G34" s="301"/>
      <c r="H34" s="301"/>
      <c r="I34" s="301"/>
      <c r="J34" s="301"/>
      <c r="K34" s="301"/>
      <c r="L34" s="301"/>
      <c r="M34" s="301"/>
      <c r="N34" s="301"/>
      <c r="O34" s="301"/>
      <c r="P34" s="303"/>
      <c r="Q34" s="301"/>
      <c r="R34" s="221"/>
      <c r="S34" s="221"/>
      <c r="T34" s="221"/>
      <c r="U34" s="289"/>
    </row>
    <row r="35" spans="2:21" ht="15.5">
      <c r="C35" s="285" t="s">
        <v>23</v>
      </c>
      <c r="D35" s="301"/>
      <c r="E35" s="302">
        <f>E33+E34</f>
        <v>23057506.576109312</v>
      </c>
      <c r="F35" s="301"/>
      <c r="G35" s="301"/>
      <c r="H35" s="301"/>
      <c r="I35" s="301"/>
      <c r="J35" s="301"/>
      <c r="K35" s="301"/>
      <c r="L35" s="301"/>
      <c r="M35" s="301"/>
      <c r="N35" s="301"/>
      <c r="O35" s="301"/>
      <c r="P35" s="304"/>
      <c r="Q35" s="301"/>
      <c r="U35" s="244"/>
    </row>
    <row r="36" spans="2:21" ht="12.75" customHeight="1">
      <c r="C36" s="305"/>
      <c r="D36" s="301"/>
      <c r="E36" s="301"/>
      <c r="F36" s="301"/>
      <c r="G36" s="301"/>
      <c r="H36" s="301"/>
      <c r="I36" s="301"/>
      <c r="J36" s="301"/>
      <c r="K36" s="301"/>
      <c r="L36" s="301"/>
      <c r="M36" s="301"/>
      <c r="N36" s="301"/>
      <c r="O36" s="301"/>
      <c r="P36" s="304"/>
      <c r="Q36" s="301"/>
      <c r="R36" s="244"/>
      <c r="S36" s="244"/>
      <c r="T36" s="244"/>
      <c r="U36" s="244"/>
    </row>
    <row r="37" spans="2:21" ht="18">
      <c r="B37" s="234" t="s">
        <v>24</v>
      </c>
      <c r="C37" s="306" t="str">
        <f>"Calculate Net Plant Carrying Charge Rate (Fixed Charge Rate or FCR) with hypothetical "&amp;F13&amp;" basis point"</f>
        <v>Calculate Net Plant Carrying Charge Rate (Fixed Charge Rate or FCR) with hypothetical 0 basis point</v>
      </c>
      <c r="D37" s="301"/>
      <c r="E37" s="301"/>
      <c r="F37" s="301"/>
      <c r="G37" s="301"/>
      <c r="H37" s="301"/>
      <c r="I37" s="301"/>
      <c r="J37" s="301"/>
      <c r="K37" s="301"/>
      <c r="L37" s="301"/>
      <c r="M37" s="301"/>
      <c r="N37" s="301"/>
      <c r="O37" s="301"/>
      <c r="P37" s="304"/>
      <c r="Q37" s="301"/>
      <c r="R37" s="244"/>
      <c r="S37" s="244"/>
      <c r="T37" s="244"/>
      <c r="U37" s="244"/>
    </row>
    <row r="38" spans="2:21" ht="15.75" customHeight="1">
      <c r="B38" s="234"/>
      <c r="C38" s="306" t="str">
        <f>"ROE increase."</f>
        <v>ROE increase.</v>
      </c>
      <c r="D38" s="301"/>
      <c r="E38" s="301"/>
      <c r="F38" s="301"/>
      <c r="G38" s="301"/>
      <c r="H38" s="301"/>
      <c r="I38" s="301"/>
      <c r="J38" s="301"/>
      <c r="K38" s="301"/>
      <c r="L38" s="301"/>
      <c r="M38" s="301"/>
      <c r="N38" s="301"/>
      <c r="O38" s="301"/>
      <c r="P38" s="304"/>
      <c r="Q38" s="301"/>
      <c r="R38" s="244"/>
      <c r="S38" s="244"/>
      <c r="T38" s="244"/>
      <c r="U38" s="244"/>
    </row>
    <row r="39" spans="2:21" ht="12.75" customHeight="1">
      <c r="C39" s="305"/>
      <c r="D39" s="301"/>
      <c r="E39" s="301"/>
      <c r="F39" s="301"/>
      <c r="G39" s="301"/>
      <c r="H39" s="301"/>
      <c r="I39" s="301"/>
      <c r="J39" s="301"/>
      <c r="K39" s="301"/>
      <c r="L39" s="301"/>
      <c r="M39" s="301"/>
      <c r="N39" s="301"/>
      <c r="O39" s="301"/>
      <c r="P39" s="304"/>
      <c r="Q39" s="301"/>
      <c r="R39" s="244"/>
      <c r="S39" s="244"/>
      <c r="T39" s="244"/>
      <c r="U39" s="244"/>
    </row>
    <row r="40" spans="2:21" ht="15.5">
      <c r="B40" s="244"/>
      <c r="C40" s="307" t="s">
        <v>240</v>
      </c>
      <c r="D40" s="308"/>
      <c r="E40" s="308"/>
      <c r="F40" s="308"/>
      <c r="G40" s="308"/>
      <c r="H40" s="308"/>
      <c r="I40" s="308"/>
      <c r="J40" s="308"/>
      <c r="K40" s="308"/>
      <c r="L40" s="308"/>
      <c r="M40" s="308"/>
      <c r="N40" s="308"/>
      <c r="O40" s="308"/>
      <c r="P40" s="302"/>
      <c r="Q40" s="308"/>
      <c r="R40" s="244"/>
      <c r="S40" s="244"/>
      <c r="T40" s="244"/>
      <c r="U40" s="244"/>
    </row>
    <row r="41" spans="2:21" ht="15.5">
      <c r="B41" s="244"/>
      <c r="C41" s="307"/>
      <c r="D41" s="308"/>
      <c r="E41" s="308"/>
      <c r="F41" s="308"/>
      <c r="G41" s="308"/>
      <c r="H41" s="308"/>
      <c r="I41" s="308"/>
      <c r="J41" s="308"/>
      <c r="K41" s="308"/>
      <c r="L41" s="308"/>
      <c r="M41" s="308"/>
      <c r="N41" s="308"/>
      <c r="O41" s="308"/>
      <c r="P41" s="302"/>
      <c r="Q41" s="308"/>
      <c r="R41" s="244"/>
      <c r="S41" s="244"/>
      <c r="T41" s="244"/>
      <c r="U41" s="244"/>
    </row>
    <row r="42" spans="2:21" ht="12.75" customHeight="1">
      <c r="B42" s="244"/>
      <c r="C42" s="237" t="str">
        <f>+S113</f>
        <v xml:space="preserve">   Net Revenue Requirement  (TCOS, ln 117)</v>
      </c>
      <c r="D42" s="308"/>
      <c r="E42" s="308"/>
      <c r="F42" s="302">
        <f>+R113</f>
        <v>122371399.0348953</v>
      </c>
      <c r="G42" s="308"/>
      <c r="H42" s="308"/>
      <c r="I42" s="308"/>
      <c r="J42" s="308"/>
      <c r="K42" s="308"/>
      <c r="L42" s="308"/>
      <c r="M42" s="308"/>
      <c r="N42" s="308"/>
      <c r="O42" s="308"/>
      <c r="P42" s="302"/>
      <c r="Q42" s="308"/>
      <c r="R42" s="244"/>
      <c r="S42" s="244"/>
      <c r="T42" s="244"/>
      <c r="U42" s="244"/>
    </row>
    <row r="43" spans="2:21" ht="12.5">
      <c r="B43" s="244"/>
      <c r="C43" s="237" t="str">
        <f>+S114</f>
        <v xml:space="preserve">   Return  (TCOS, ln 112)</v>
      </c>
      <c r="D43" s="308"/>
      <c r="E43" s="308"/>
      <c r="F43" s="309">
        <f>+R114</f>
        <v>53321255.597391613</v>
      </c>
      <c r="G43" s="310"/>
      <c r="H43" s="310"/>
      <c r="I43" s="310"/>
      <c r="J43" s="310"/>
      <c r="K43" s="310"/>
      <c r="L43" s="310"/>
      <c r="M43" s="310"/>
      <c r="N43" s="310"/>
      <c r="O43" s="310"/>
      <c r="P43" s="302"/>
      <c r="Q43" s="308"/>
      <c r="R43" s="244"/>
      <c r="S43" s="244"/>
      <c r="T43" s="244"/>
      <c r="U43" s="244"/>
    </row>
    <row r="44" spans="2:21" ht="12.5">
      <c r="B44" s="244"/>
      <c r="C44" s="237" t="str">
        <f>+S115</f>
        <v xml:space="preserve">   Income Taxes  (TCOS, ln 111)</v>
      </c>
      <c r="D44" s="308"/>
      <c r="E44" s="308"/>
      <c r="F44" s="302">
        <f>+R115</f>
        <v>24950832.256548975</v>
      </c>
      <c r="G44" s="308"/>
      <c r="H44" s="308"/>
      <c r="I44" s="311"/>
      <c r="J44" s="311"/>
      <c r="K44" s="311"/>
      <c r="L44" s="311"/>
      <c r="M44" s="311"/>
      <c r="N44" s="311"/>
      <c r="O44" s="308"/>
      <c r="P44" s="308"/>
      <c r="Q44" s="308"/>
      <c r="R44" s="244"/>
      <c r="S44" s="244"/>
      <c r="T44" s="244"/>
      <c r="U44" s="244"/>
    </row>
    <row r="45" spans="2:21" ht="12.5">
      <c r="B45" s="244"/>
      <c r="C45" s="312" t="str">
        <f>+S116</f>
        <v xml:space="preserve">  Gross Margin Taxes  (TCOS, ln 116)</v>
      </c>
      <c r="D45" s="308"/>
      <c r="E45" s="308"/>
      <c r="F45" s="313">
        <f>+R116</f>
        <v>0</v>
      </c>
      <c r="G45" s="308"/>
      <c r="H45" s="308"/>
      <c r="I45" s="311"/>
      <c r="J45" s="311"/>
      <c r="K45" s="311"/>
      <c r="L45" s="311"/>
      <c r="M45" s="311"/>
      <c r="N45" s="311"/>
      <c r="O45" s="308"/>
      <c r="P45" s="308"/>
      <c r="Q45" s="308"/>
      <c r="R45" s="244"/>
      <c r="S45" s="244"/>
      <c r="T45" s="244"/>
      <c r="U45" s="244"/>
    </row>
    <row r="46" spans="2:21" ht="12.5">
      <c r="B46" s="244"/>
      <c r="C46" s="249" t="s">
        <v>25</v>
      </c>
      <c r="D46" s="308"/>
      <c r="E46" s="308"/>
      <c r="F46" s="309">
        <f>F42-F43-F44-F45</f>
        <v>44099311.180954725</v>
      </c>
      <c r="G46" s="314"/>
      <c r="H46" s="308"/>
      <c r="I46" s="314"/>
      <c r="J46" s="314"/>
      <c r="K46" s="314"/>
      <c r="L46" s="314"/>
      <c r="M46" s="314"/>
      <c r="N46" s="314"/>
      <c r="O46" s="308"/>
      <c r="P46" s="314"/>
      <c r="Q46" s="308"/>
      <c r="R46" s="244"/>
      <c r="S46" s="244"/>
      <c r="T46" s="244"/>
      <c r="U46" s="244"/>
    </row>
    <row r="47" spans="2:21" ht="12.5">
      <c r="B47" s="244"/>
      <c r="C47" s="312"/>
      <c r="D47" s="308"/>
      <c r="E47" s="308"/>
      <c r="F47" s="302"/>
      <c r="G47" s="315"/>
      <c r="H47" s="316"/>
      <c r="I47" s="316"/>
      <c r="J47" s="316"/>
      <c r="K47" s="316"/>
      <c r="L47" s="316"/>
      <c r="M47" s="316"/>
      <c r="N47" s="316"/>
      <c r="O47" s="317"/>
      <c r="P47" s="316"/>
      <c r="Q47" s="318"/>
      <c r="R47" s="244"/>
      <c r="S47" s="244"/>
      <c r="T47" s="244"/>
      <c r="U47" s="244"/>
    </row>
    <row r="48" spans="2:21" ht="15.5">
      <c r="B48" s="244"/>
      <c r="C48" s="236" t="str">
        <f>"B.   Determine Net Revenue Requirement with hypothetical "&amp;F13&amp;" basis point increase in ROE."</f>
        <v>B.   Determine Net Revenue Requirement with hypothetical 0 basis point increase in ROE.</v>
      </c>
      <c r="D48" s="317"/>
      <c r="E48" s="317"/>
      <c r="F48" s="302"/>
      <c r="G48" s="315"/>
      <c r="H48" s="316"/>
      <c r="I48" s="316"/>
      <c r="J48" s="316"/>
      <c r="K48" s="316"/>
      <c r="L48" s="316"/>
      <c r="M48" s="316"/>
      <c r="N48" s="316"/>
      <c r="O48" s="317"/>
      <c r="P48" s="316"/>
      <c r="Q48" s="308"/>
      <c r="T48" s="244"/>
      <c r="U48" s="244"/>
    </row>
    <row r="49" spans="2:21" ht="15.5">
      <c r="B49" s="244"/>
      <c r="C49" s="236"/>
      <c r="D49" s="317"/>
      <c r="E49" s="317"/>
      <c r="F49" s="302"/>
      <c r="G49" s="315"/>
      <c r="H49" s="316"/>
      <c r="I49" s="316"/>
      <c r="J49" s="316"/>
      <c r="K49" s="316"/>
      <c r="L49" s="316"/>
      <c r="M49" s="316"/>
      <c r="N49" s="316"/>
      <c r="O49" s="317"/>
      <c r="P49" s="316"/>
      <c r="Q49" s="308"/>
      <c r="T49" s="244"/>
      <c r="U49" s="244"/>
    </row>
    <row r="50" spans="2:21" ht="13">
      <c r="B50" s="244"/>
      <c r="C50" s="312" t="str">
        <f>C46</f>
        <v xml:space="preserve">   Net Revenue Requirement, Less Return and Taxes</v>
      </c>
      <c r="D50" s="317"/>
      <c r="E50" s="317"/>
      <c r="F50" s="302">
        <f>F46</f>
        <v>44099311.180954725</v>
      </c>
      <c r="G50" s="308"/>
      <c r="H50" s="308"/>
      <c r="I50" s="308"/>
      <c r="J50" s="308"/>
      <c r="K50" s="308"/>
      <c r="L50" s="308"/>
      <c r="M50" s="308"/>
      <c r="N50" s="308"/>
      <c r="O50" s="319"/>
      <c r="P50" s="320"/>
      <c r="Q50" s="321"/>
      <c r="T50" s="244"/>
      <c r="U50" s="244"/>
    </row>
    <row r="51" spans="2:21" ht="13">
      <c r="B51" s="244"/>
      <c r="C51" s="243" t="s">
        <v>92</v>
      </c>
      <c r="D51" s="322"/>
      <c r="E51" s="249"/>
      <c r="F51" s="323">
        <f>E26</f>
        <v>50884258.155621134</v>
      </c>
      <c r="G51" s="249"/>
      <c r="H51" s="324"/>
      <c r="I51" s="249"/>
      <c r="J51" s="249"/>
      <c r="K51" s="249"/>
      <c r="L51" s="249"/>
      <c r="M51" s="249"/>
      <c r="N51" s="249"/>
      <c r="O51" s="249"/>
      <c r="P51" s="249"/>
      <c r="Q51" s="249"/>
      <c r="T51" s="244"/>
      <c r="U51" s="244"/>
    </row>
    <row r="52" spans="2:21" ht="12.75" customHeight="1">
      <c r="B52" s="244"/>
      <c r="C52" s="237" t="s">
        <v>26</v>
      </c>
      <c r="D52" s="308"/>
      <c r="E52" s="308"/>
      <c r="F52" s="325">
        <f>E35</f>
        <v>23057506.576109312</v>
      </c>
      <c r="G52" s="244"/>
      <c r="H52" s="326"/>
      <c r="I52" s="244"/>
      <c r="J52" s="279"/>
      <c r="K52" s="244"/>
      <c r="L52" s="244"/>
      <c r="M52" s="244"/>
      <c r="N52" s="244"/>
      <c r="O52" s="244"/>
      <c r="P52" s="244"/>
      <c r="Q52" s="244"/>
      <c r="T52" s="244"/>
      <c r="U52" s="244"/>
    </row>
    <row r="53" spans="2:21" ht="12.5">
      <c r="B53" s="244"/>
      <c r="C53" s="249" t="str">
        <f>"   Net Revenue Requirement, with "&amp;F13&amp;" Basis Point ROE increase"</f>
        <v xml:space="preserve">   Net Revenue Requirement, with 0 Basis Point ROE increase</v>
      </c>
      <c r="D53" s="293"/>
      <c r="E53" s="244"/>
      <c r="F53" s="327">
        <f>SUM(F50:F52)</f>
        <v>118041075.91268519</v>
      </c>
      <c r="G53" s="244"/>
      <c r="H53" s="326"/>
      <c r="I53" s="244"/>
      <c r="J53" s="279"/>
      <c r="K53" s="244"/>
      <c r="L53" s="244"/>
      <c r="M53" s="244"/>
      <c r="N53" s="244"/>
      <c r="O53" s="244"/>
      <c r="P53" s="244"/>
      <c r="Q53" s="244"/>
      <c r="R53" s="244"/>
      <c r="S53" s="244"/>
      <c r="T53" s="244"/>
      <c r="U53" s="244"/>
    </row>
    <row r="54" spans="2:21" ht="12.5">
      <c r="B54" s="244"/>
      <c r="C54" s="300" t="str">
        <f>"   Gross Margin Tax with "&amp;F13&amp;" Basis Point ROE Increase (II C. below)"</f>
        <v xml:space="preserve">   Gross Margin Tax with 0 Basis Point ROE Increase (II C. below)</v>
      </c>
      <c r="D54" s="328"/>
      <c r="E54" s="328"/>
      <c r="F54" s="329">
        <f>+F69</f>
        <v>0</v>
      </c>
      <c r="G54" s="244"/>
      <c r="H54" s="326"/>
      <c r="I54" s="244"/>
      <c r="J54" s="279"/>
      <c r="K54" s="244"/>
      <c r="L54" s="244"/>
      <c r="M54" s="244"/>
      <c r="N54" s="244"/>
      <c r="O54" s="244"/>
      <c r="P54" s="244"/>
      <c r="Q54" s="244"/>
      <c r="R54" s="244"/>
      <c r="S54" s="244"/>
      <c r="T54" s="244"/>
      <c r="U54" s="244"/>
    </row>
    <row r="55" spans="2:21" ht="12.5">
      <c r="B55" s="244"/>
      <c r="C55" s="249" t="s">
        <v>27</v>
      </c>
      <c r="D55" s="293"/>
      <c r="E55" s="244"/>
      <c r="F55" s="299">
        <f>+F53+F54</f>
        <v>118041075.91268519</v>
      </c>
      <c r="G55" s="244"/>
      <c r="H55" s="326"/>
      <c r="I55" s="244"/>
      <c r="J55" s="279"/>
      <c r="K55" s="244"/>
      <c r="L55" s="244"/>
      <c r="M55" s="244"/>
      <c r="N55" s="244"/>
      <c r="O55" s="244"/>
      <c r="P55" s="244"/>
      <c r="Q55" s="244"/>
      <c r="R55" s="244"/>
      <c r="S55" s="244"/>
      <c r="T55" s="244"/>
      <c r="U55" s="244"/>
    </row>
    <row r="56" spans="2:21" ht="12.5">
      <c r="B56" s="244"/>
      <c r="C56" s="237" t="str">
        <f>+S117</f>
        <v xml:space="preserve">   Less: Depreciation  (TCOS, ln 86)</v>
      </c>
      <c r="D56" s="293"/>
      <c r="E56" s="244"/>
      <c r="F56" s="330">
        <f>+R117</f>
        <v>22297433.163791802</v>
      </c>
      <c r="G56" s="244"/>
      <c r="H56" s="326"/>
      <c r="I56" s="244"/>
      <c r="J56" s="279"/>
      <c r="K56" s="244"/>
      <c r="L56" s="244"/>
      <c r="M56" s="244"/>
      <c r="N56" s="244"/>
      <c r="O56" s="244"/>
      <c r="P56" s="244"/>
      <c r="Q56" s="244"/>
      <c r="R56" s="244"/>
      <c r="S56" s="244"/>
      <c r="T56" s="244"/>
      <c r="U56" s="244"/>
    </row>
    <row r="57" spans="2:21" ht="12.5">
      <c r="B57" s="244"/>
      <c r="C57" s="249" t="str">
        <f>"   Net Rev. Req, w/"&amp;F13&amp;" Basis Point ROE increase, less Depreciation"</f>
        <v xml:space="preserve">   Net Rev. Req, w/0 Basis Point ROE increase, less Depreciation</v>
      </c>
      <c r="D57" s="293"/>
      <c r="E57" s="244"/>
      <c r="F57" s="327">
        <f>F55-F56</f>
        <v>95743642.74889338</v>
      </c>
      <c r="G57" s="244"/>
      <c r="H57" s="326"/>
      <c r="I57" s="244"/>
      <c r="J57" s="279"/>
      <c r="K57" s="244"/>
      <c r="L57" s="244"/>
      <c r="M57" s="244"/>
      <c r="N57" s="244"/>
      <c r="O57" s="244"/>
      <c r="P57" s="244"/>
      <c r="Q57" s="244"/>
      <c r="R57" s="244"/>
      <c r="S57" s="244"/>
      <c r="T57" s="244"/>
      <c r="U57" s="244"/>
    </row>
    <row r="58" spans="2:21" ht="12.5">
      <c r="B58" s="244"/>
      <c r="C58" s="244"/>
      <c r="D58" s="293"/>
      <c r="E58" s="244"/>
      <c r="F58" s="244"/>
      <c r="G58" s="244"/>
      <c r="H58" s="326"/>
      <c r="I58" s="244"/>
      <c r="J58" s="279"/>
      <c r="K58" s="244"/>
      <c r="L58" s="244"/>
      <c r="M58" s="244"/>
      <c r="N58" s="244"/>
      <c r="O58" s="244"/>
      <c r="P58" s="244"/>
      <c r="Q58" s="244"/>
      <c r="R58" s="244"/>
      <c r="S58" s="244"/>
      <c r="T58" s="244"/>
      <c r="U58" s="244"/>
    </row>
    <row r="59" spans="2:21" ht="15.5">
      <c r="B59" s="245"/>
      <c r="C59" s="307" t="str">
        <f>"C.   Determine Gross Margin Tax with hypothetical "&amp;F13&amp;" basis point increase in ROE."</f>
        <v>C.   Determine Gross Margin Tax with hypothetical 0 basis point increase in ROE.</v>
      </c>
      <c r="D59" s="331"/>
      <c r="E59" s="331"/>
      <c r="F59" s="332"/>
      <c r="G59" s="245"/>
      <c r="H59" s="333"/>
      <c r="I59" s="245"/>
      <c r="J59" s="279"/>
      <c r="K59" s="244"/>
      <c r="L59" s="244"/>
      <c r="M59" s="244"/>
      <c r="N59" s="244"/>
      <c r="O59" s="244"/>
      <c r="P59" s="244"/>
      <c r="Q59" s="244"/>
      <c r="R59" s="244"/>
      <c r="S59" s="244"/>
      <c r="T59" s="244"/>
      <c r="U59" s="244"/>
    </row>
    <row r="60" spans="2:21" ht="12.5">
      <c r="B60" s="245"/>
      <c r="C60" s="300" t="str">
        <f>"   Net Revenue Requirement before Gross Margin Taxes, with "&amp;F13&amp;" "</f>
        <v xml:space="preserve">   Net Revenue Requirement before Gross Margin Taxes, with 0 </v>
      </c>
      <c r="D60" s="331"/>
      <c r="E60" s="331"/>
      <c r="F60" s="332">
        <f>+F53</f>
        <v>118041075.91268519</v>
      </c>
      <c r="G60" s="245"/>
      <c r="H60" s="333"/>
      <c r="I60" s="245"/>
      <c r="J60" s="279"/>
      <c r="K60" s="244"/>
      <c r="L60" s="244"/>
      <c r="M60" s="244"/>
      <c r="N60" s="244"/>
      <c r="O60" s="244"/>
      <c r="P60" s="244"/>
      <c r="Q60" s="244"/>
      <c r="R60" s="244"/>
      <c r="S60" s="244"/>
      <c r="T60" s="244"/>
      <c r="U60" s="244"/>
    </row>
    <row r="61" spans="2:21" ht="12.5">
      <c r="B61" s="245"/>
      <c r="C61" s="300" t="s">
        <v>28</v>
      </c>
      <c r="D61" s="331"/>
      <c r="E61" s="331"/>
      <c r="F61" s="332"/>
      <c r="G61" s="245"/>
      <c r="H61" s="333"/>
      <c r="I61" s="245"/>
      <c r="J61" s="279"/>
      <c r="K61" s="244"/>
      <c r="L61" s="244"/>
      <c r="M61" s="244"/>
      <c r="N61" s="244"/>
      <c r="O61" s="244"/>
      <c r="P61" s="244"/>
      <c r="Q61" s="244"/>
      <c r="R61" s="244"/>
      <c r="S61" s="244"/>
      <c r="T61" s="244"/>
      <c r="U61" s="244"/>
    </row>
    <row r="62" spans="2:21" ht="12.5">
      <c r="B62" s="245"/>
      <c r="C62" s="249" t="str">
        <f>+S118</f>
        <v xml:space="preserve">       Apportionment Factor to Texas (Worksheet K, ln 12)</v>
      </c>
      <c r="D62" s="334"/>
      <c r="E62" s="245"/>
      <c r="F62" s="335">
        <f>+R118</f>
        <v>0</v>
      </c>
      <c r="G62" s="245"/>
      <c r="H62" s="333"/>
      <c r="I62" s="245"/>
      <c r="J62" s="279"/>
      <c r="K62" s="244"/>
      <c r="L62" s="244"/>
      <c r="M62" s="244"/>
      <c r="N62" s="244"/>
      <c r="O62" s="244"/>
      <c r="P62" s="244"/>
      <c r="Q62" s="244"/>
      <c r="R62" s="244"/>
      <c r="S62" s="244"/>
      <c r="T62" s="244"/>
      <c r="U62" s="244"/>
    </row>
    <row r="63" spans="2:21" ht="12.5">
      <c r="B63" s="245"/>
      <c r="C63" s="249" t="s">
        <v>29</v>
      </c>
      <c r="D63" s="334"/>
      <c r="E63" s="245"/>
      <c r="F63" s="332">
        <f>+F60*F62</f>
        <v>0</v>
      </c>
      <c r="G63" s="245"/>
      <c r="H63" s="333"/>
      <c r="I63" s="245"/>
      <c r="J63" s="279"/>
      <c r="K63" s="244"/>
      <c r="L63" s="244"/>
      <c r="M63" s="244"/>
      <c r="N63" s="244"/>
      <c r="O63" s="244"/>
      <c r="P63" s="244"/>
      <c r="Q63" s="244"/>
      <c r="R63" s="244"/>
      <c r="S63" s="244"/>
      <c r="T63" s="244"/>
      <c r="U63" s="244"/>
    </row>
    <row r="64" spans="2:21" ht="12.5">
      <c r="B64" s="245"/>
      <c r="C64" s="249" t="s">
        <v>257</v>
      </c>
      <c r="D64" s="334"/>
      <c r="E64" s="245"/>
      <c r="F64" s="336">
        <v>0.22</v>
      </c>
      <c r="G64" s="245"/>
      <c r="H64" s="333"/>
      <c r="I64" s="245"/>
      <c r="J64" s="279"/>
      <c r="K64" s="244"/>
      <c r="L64" s="244"/>
      <c r="M64" s="244"/>
      <c r="N64" s="244"/>
      <c r="O64" s="244"/>
      <c r="P64" s="244"/>
      <c r="Q64" s="244"/>
      <c r="R64" s="244"/>
      <c r="S64" s="244"/>
      <c r="T64" s="244"/>
      <c r="U64" s="244"/>
    </row>
    <row r="65" spans="2:21" ht="12.5">
      <c r="B65" s="245"/>
      <c r="C65" s="249" t="s">
        <v>30</v>
      </c>
      <c r="D65" s="334"/>
      <c r="E65" s="245"/>
      <c r="F65" s="332">
        <f>+F63*F64</f>
        <v>0</v>
      </c>
      <c r="G65" s="245"/>
      <c r="H65" s="333"/>
      <c r="I65" s="245"/>
      <c r="J65" s="279"/>
      <c r="K65" s="244"/>
      <c r="L65" s="244"/>
      <c r="M65" s="244"/>
      <c r="N65" s="244"/>
      <c r="O65" s="244"/>
      <c r="P65" s="244"/>
      <c r="Q65" s="244"/>
      <c r="R65" s="244"/>
      <c r="S65" s="244"/>
      <c r="T65" s="244"/>
      <c r="U65" s="244"/>
    </row>
    <row r="66" spans="2:21" ht="12.5">
      <c r="B66" s="245"/>
      <c r="C66" s="249" t="s">
        <v>31</v>
      </c>
      <c r="D66" s="334"/>
      <c r="E66" s="245"/>
      <c r="F66" s="336">
        <v>0.01</v>
      </c>
      <c r="G66" s="245"/>
      <c r="H66" s="333"/>
      <c r="I66" s="245"/>
      <c r="J66" s="279"/>
      <c r="K66" s="244"/>
      <c r="L66" s="244"/>
      <c r="M66" s="244"/>
      <c r="N66" s="244"/>
      <c r="O66" s="244"/>
      <c r="P66" s="244"/>
      <c r="Q66" s="244"/>
      <c r="R66" s="244"/>
      <c r="S66" s="244"/>
      <c r="T66" s="244"/>
      <c r="U66" s="244"/>
    </row>
    <row r="67" spans="2:21" ht="12.5">
      <c r="B67" s="245"/>
      <c r="C67" s="249" t="s">
        <v>32</v>
      </c>
      <c r="D67" s="334"/>
      <c r="E67" s="245"/>
      <c r="F67" s="332">
        <f>+F65*F66</f>
        <v>0</v>
      </c>
      <c r="G67" s="245"/>
      <c r="H67" s="333"/>
      <c r="I67" s="245"/>
      <c r="J67" s="279"/>
      <c r="K67" s="244"/>
      <c r="L67" s="244"/>
      <c r="M67" s="244"/>
      <c r="N67" s="244"/>
      <c r="O67" s="244"/>
      <c r="P67" s="244"/>
      <c r="Q67" s="244"/>
      <c r="R67" s="244"/>
      <c r="S67" s="244"/>
      <c r="T67" s="244"/>
      <c r="U67" s="244"/>
    </row>
    <row r="68" spans="2:21" ht="12.5">
      <c r="B68" s="245"/>
      <c r="C68" s="249" t="s">
        <v>33</v>
      </c>
      <c r="D68" s="334"/>
      <c r="E68" s="245"/>
      <c r="F68" s="337">
        <f>+ROUND((F67*F64*F62)/(1-F66)*F66,0)</f>
        <v>0</v>
      </c>
      <c r="G68" s="245"/>
      <c r="H68" s="333"/>
      <c r="I68" s="245"/>
      <c r="J68" s="279"/>
      <c r="K68" s="244"/>
      <c r="L68" s="244"/>
      <c r="M68" s="244"/>
      <c r="N68" s="244"/>
      <c r="O68" s="244"/>
      <c r="P68" s="244"/>
      <c r="Q68" s="244"/>
      <c r="R68" s="244"/>
      <c r="S68" s="244"/>
      <c r="T68" s="244"/>
      <c r="U68" s="244"/>
    </row>
    <row r="69" spans="2:21" ht="12.5">
      <c r="B69" s="245"/>
      <c r="C69" s="249" t="s">
        <v>34</v>
      </c>
      <c r="D69" s="334"/>
      <c r="E69" s="245"/>
      <c r="F69" s="332">
        <f>+F67+F68</f>
        <v>0</v>
      </c>
      <c r="G69" s="245"/>
      <c r="H69" s="333"/>
      <c r="I69" s="245"/>
      <c r="J69" s="279"/>
      <c r="K69" s="244"/>
      <c r="L69" s="244"/>
      <c r="M69" s="244"/>
      <c r="N69" s="244"/>
      <c r="O69" s="244"/>
      <c r="P69" s="244"/>
      <c r="Q69" s="244"/>
      <c r="R69" s="244"/>
      <c r="S69" s="244"/>
      <c r="T69" s="244"/>
      <c r="U69" s="244"/>
    </row>
    <row r="70" spans="2:21" ht="12.5">
      <c r="B70" s="244"/>
      <c r="C70" s="244"/>
      <c r="D70" s="293"/>
      <c r="E70" s="244"/>
      <c r="F70" s="244"/>
      <c r="G70" s="244"/>
      <c r="H70" s="326"/>
      <c r="I70" s="244"/>
      <c r="J70" s="279"/>
      <c r="K70" s="244"/>
      <c r="L70" s="244"/>
      <c r="M70" s="244"/>
      <c r="N70" s="244"/>
      <c r="O70" s="244"/>
      <c r="P70" s="244"/>
      <c r="Q70" s="244"/>
      <c r="R70" s="244"/>
      <c r="S70" s="244"/>
      <c r="T70" s="244"/>
      <c r="U70" s="244"/>
    </row>
    <row r="71" spans="2:21" ht="15.5">
      <c r="B71" s="244"/>
      <c r="C71" s="236" t="str">
        <f>"D.   Determine FCR with hypothetical "&amp;F13&amp;" basis point ROE increase."</f>
        <v>D.   Determine FCR with hypothetical 0 basis point ROE increase.</v>
      </c>
      <c r="D71" s="293"/>
      <c r="E71" s="244"/>
      <c r="F71" s="244"/>
      <c r="G71" s="244"/>
      <c r="H71" s="326"/>
      <c r="I71" s="244"/>
      <c r="J71" s="279"/>
      <c r="K71" s="244"/>
      <c r="L71" s="244"/>
      <c r="M71" s="244"/>
      <c r="N71" s="244"/>
      <c r="O71" s="244"/>
      <c r="P71" s="244"/>
      <c r="Q71" s="244"/>
      <c r="R71" s="244"/>
      <c r="S71" s="244"/>
      <c r="T71" s="244"/>
      <c r="U71" s="244"/>
    </row>
    <row r="72" spans="2:21" ht="12.5">
      <c r="B72" s="244"/>
      <c r="C72" s="237" t="str">
        <f>+S119</f>
        <v xml:space="preserve">   Net Transmission Plant  (TCOS, ln 37)</v>
      </c>
      <c r="D72" s="293"/>
      <c r="E72" s="244"/>
      <c r="F72" s="327">
        <f>+R119</f>
        <v>851758372.09995687</v>
      </c>
      <c r="G72" s="338"/>
      <c r="H72" s="213"/>
      <c r="J72" s="221"/>
      <c r="P72" s="244"/>
      <c r="Q72" s="244"/>
      <c r="R72" s="244"/>
      <c r="S72" s="244"/>
      <c r="T72" s="244"/>
      <c r="U72" s="326"/>
    </row>
    <row r="73" spans="2:21" ht="12.5">
      <c r="B73" s="244"/>
      <c r="C73" s="249" t="str">
        <f>"   Net Revenue Requirement, with "&amp;F13&amp;" Basis Point ROE increase"</f>
        <v xml:space="preserve">   Net Revenue Requirement, with 0 Basis Point ROE increase</v>
      </c>
      <c r="D73" s="293"/>
      <c r="E73" s="244"/>
      <c r="F73" s="339">
        <f>F53</f>
        <v>118041075.91268519</v>
      </c>
      <c r="H73" s="213"/>
      <c r="J73" s="221"/>
      <c r="P73" s="244"/>
      <c r="Q73" s="244"/>
      <c r="R73" s="244"/>
      <c r="S73" s="244"/>
      <c r="T73" s="244"/>
      <c r="U73" s="326"/>
    </row>
    <row r="74" spans="2:21" ht="12.5">
      <c r="B74" s="244"/>
      <c r="C74" s="249" t="str">
        <f>"   FCR with "&amp;F13&amp;" Basis Point increase in ROE"</f>
        <v xml:space="preserve">   FCR with 0 Basis Point increase in ROE</v>
      </c>
      <c r="D74" s="293"/>
      <c r="E74" s="244"/>
      <c r="F74" s="340">
        <f>IF(F72=0,0,F73/F72)</f>
        <v>0.13858516661440298</v>
      </c>
      <c r="H74" s="213"/>
      <c r="J74" s="221"/>
      <c r="P74" s="244"/>
      <c r="Q74" s="244"/>
      <c r="R74" s="244"/>
      <c r="S74" s="244"/>
      <c r="T74" s="244"/>
      <c r="U74" s="326"/>
    </row>
    <row r="75" spans="2:21" ht="12.5">
      <c r="B75" s="244"/>
      <c r="D75" s="293"/>
      <c r="E75" s="244"/>
      <c r="F75" s="245"/>
      <c r="H75" s="213"/>
      <c r="J75" s="221"/>
      <c r="P75" s="244"/>
      <c r="Q75" s="244"/>
      <c r="R75" s="244"/>
      <c r="S75" s="244"/>
      <c r="T75" s="244"/>
      <c r="U75" s="326"/>
    </row>
    <row r="76" spans="2:21" ht="12.5">
      <c r="B76" s="244"/>
      <c r="C76" s="249" t="str">
        <f>"   Net Rev. Req, w / "&amp;F13&amp;" Basis Point ROE increase, less Dep."</f>
        <v xml:space="preserve">   Net Rev. Req, w / 0 Basis Point ROE increase, less Dep.</v>
      </c>
      <c r="D76" s="293"/>
      <c r="E76" s="244"/>
      <c r="F76" s="327">
        <f>F57</f>
        <v>95743642.74889338</v>
      </c>
      <c r="G76" s="338"/>
      <c r="H76" s="213"/>
      <c r="J76" s="221"/>
      <c r="P76" s="244"/>
      <c r="Q76" s="244"/>
      <c r="R76" s="244"/>
      <c r="S76" s="244"/>
      <c r="T76" s="244"/>
      <c r="U76" s="326"/>
    </row>
    <row r="77" spans="2:21" ht="12.5">
      <c r="B77" s="244"/>
      <c r="C77" s="249" t="str">
        <f>"   FCR with "&amp;F13&amp;" Basis Point ROE increase, less Depreciation"</f>
        <v xml:space="preserve">   FCR with 0 Basis Point ROE increase, less Depreciation</v>
      </c>
      <c r="D77" s="293"/>
      <c r="E77" s="244"/>
      <c r="F77" s="340">
        <f>IF(F72=0,0,F76/F72)</f>
        <v>0.11240704627633237</v>
      </c>
      <c r="G77" s="340"/>
      <c r="H77" s="213"/>
      <c r="J77" s="221"/>
      <c r="P77" s="244"/>
      <c r="Q77" s="244"/>
      <c r="R77" s="244"/>
      <c r="S77" s="244"/>
      <c r="T77" s="244"/>
      <c r="U77" s="326"/>
    </row>
    <row r="78" spans="2:21" ht="12.5">
      <c r="B78" s="244"/>
      <c r="C78" s="237" t="str">
        <f>+S120</f>
        <v xml:space="preserve">   FCR less Depreciation  (TCOS, ln 10)</v>
      </c>
      <c r="D78" s="293"/>
      <c r="E78" s="244"/>
      <c r="F78" s="341">
        <f>+R120</f>
        <v>0.11749102697326873</v>
      </c>
      <c r="H78" s="213"/>
      <c r="J78" s="221"/>
      <c r="P78" s="244"/>
      <c r="Q78" s="244"/>
      <c r="R78" s="244"/>
      <c r="S78" s="244"/>
      <c r="T78" s="244"/>
      <c r="U78" s="326"/>
    </row>
    <row r="79" spans="2:21" ht="12.5">
      <c r="B79" s="244"/>
      <c r="C79" s="658" t="str">
        <f>"   Incremental FCR with "&amp;F13&amp;" Basis Point ROE increase, less Depreciation"</f>
        <v xml:space="preserve">   Incremental FCR with 0 Basis Point ROE increase, less Depreciation</v>
      </c>
      <c r="D79" s="657"/>
      <c r="E79" s="657"/>
      <c r="F79" s="340">
        <f>F77-F78</f>
        <v>-5.0839806969363577E-3</v>
      </c>
      <c r="H79" s="213"/>
      <c r="J79" s="221"/>
      <c r="P79" s="244"/>
      <c r="Q79" s="244"/>
      <c r="R79" s="244"/>
      <c r="S79" s="244"/>
      <c r="T79" s="244"/>
      <c r="U79" s="326"/>
    </row>
    <row r="80" spans="2:21" ht="12.5">
      <c r="B80" s="244"/>
      <c r="C80" s="657"/>
      <c r="D80" s="657"/>
      <c r="E80" s="657"/>
      <c r="F80" s="340"/>
      <c r="G80" s="244"/>
      <c r="H80" s="326"/>
      <c r="I80" s="244"/>
      <c r="J80" s="279"/>
      <c r="K80" s="244"/>
      <c r="L80" s="244"/>
      <c r="M80" s="244"/>
      <c r="N80" s="244"/>
      <c r="O80" s="244"/>
      <c r="P80" s="244"/>
      <c r="Q80" s="244"/>
      <c r="R80" s="244"/>
      <c r="S80" s="244"/>
      <c r="T80" s="244"/>
      <c r="U80" s="244"/>
    </row>
    <row r="81" spans="2:21" ht="18">
      <c r="B81" s="234" t="s">
        <v>35</v>
      </c>
      <c r="C81" s="306" t="s">
        <v>36</v>
      </c>
      <c r="D81" s="293"/>
      <c r="E81" s="244"/>
      <c r="F81" s="340"/>
      <c r="G81" s="244"/>
      <c r="H81" s="326"/>
      <c r="I81" s="244"/>
      <c r="J81" s="279"/>
      <c r="K81" s="244"/>
      <c r="L81" s="244"/>
      <c r="M81" s="244"/>
      <c r="N81" s="244"/>
      <c r="O81" s="244"/>
      <c r="P81" s="244"/>
      <c r="Q81" s="244"/>
      <c r="R81" s="244"/>
      <c r="S81" s="244"/>
      <c r="T81" s="244"/>
      <c r="U81" s="244"/>
    </row>
    <row r="82" spans="2:21" ht="12.75" customHeight="1">
      <c r="B82" s="234"/>
      <c r="C82" s="249" t="s">
        <v>37</v>
      </c>
      <c r="D82" s="293"/>
      <c r="F82" s="333">
        <f>R121</f>
        <v>833515368.56698298</v>
      </c>
      <c r="G82" s="244" t="s">
        <v>241</v>
      </c>
      <c r="H82" s="326"/>
      <c r="I82" s="649" t="s">
        <v>259</v>
      </c>
      <c r="J82" s="649"/>
      <c r="K82" s="649"/>
      <c r="L82" s="649"/>
      <c r="M82" s="649"/>
      <c r="N82" s="649"/>
      <c r="O82" s="244"/>
      <c r="P82" s="244"/>
      <c r="Q82" s="244"/>
      <c r="R82" s="244"/>
      <c r="S82" s="244"/>
      <c r="T82" s="244"/>
      <c r="U82" s="244"/>
    </row>
    <row r="83" spans="2:21" ht="12.75" customHeight="1">
      <c r="B83" s="234"/>
      <c r="C83" s="249" t="s">
        <v>38</v>
      </c>
      <c r="D83" s="293"/>
      <c r="F83" s="342">
        <f>R122</f>
        <v>984858801.61921501</v>
      </c>
      <c r="G83" s="244" t="s">
        <v>241</v>
      </c>
      <c r="H83" s="326"/>
      <c r="I83" s="649"/>
      <c r="J83" s="649"/>
      <c r="K83" s="649"/>
      <c r="L83" s="649"/>
      <c r="M83" s="649"/>
      <c r="N83" s="649"/>
      <c r="O83" s="244"/>
      <c r="P83" s="244"/>
      <c r="Q83" s="244"/>
      <c r="R83" s="244"/>
      <c r="S83" s="244"/>
      <c r="T83" s="244"/>
      <c r="U83" s="244"/>
    </row>
    <row r="84" spans="2:21" ht="12.5">
      <c r="B84" s="244"/>
      <c r="C84" s="249"/>
      <c r="D84" s="293"/>
      <c r="F84" s="326">
        <f>SUM(F82:F83)</f>
        <v>1818374170.186198</v>
      </c>
      <c r="G84" s="327"/>
      <c r="H84" s="326"/>
      <c r="I84" s="649"/>
      <c r="J84" s="649"/>
      <c r="K84" s="649"/>
      <c r="L84" s="649"/>
      <c r="M84" s="649"/>
      <c r="N84" s="649"/>
      <c r="O84" s="244"/>
      <c r="P84" s="244"/>
      <c r="Q84" s="244"/>
      <c r="R84" s="244"/>
      <c r="S84" s="244"/>
      <c r="T84" s="244"/>
      <c r="U84" s="244"/>
    </row>
    <row r="85" spans="2:21" ht="12.5">
      <c r="B85" s="244"/>
      <c r="C85" s="249" t="str">
        <f>S123</f>
        <v>Transmission Plant Average Balance for 2018</v>
      </c>
      <c r="D85" s="334"/>
      <c r="E85" s="152"/>
      <c r="F85" s="343">
        <f>+F84/2</f>
        <v>909187085.093099</v>
      </c>
      <c r="G85" s="344"/>
      <c r="H85" s="326"/>
      <c r="I85" s="649"/>
      <c r="J85" s="649"/>
      <c r="K85" s="649"/>
      <c r="L85" s="649"/>
      <c r="M85" s="649"/>
      <c r="N85" s="649"/>
      <c r="O85" s="244"/>
      <c r="P85" s="244"/>
      <c r="Q85" s="244"/>
      <c r="R85" s="244"/>
      <c r="S85" s="244"/>
      <c r="T85" s="244"/>
      <c r="U85" s="244"/>
    </row>
    <row r="86" spans="2:21" ht="12.5">
      <c r="B86" s="244"/>
      <c r="C86" s="237" t="str">
        <f>S124</f>
        <v>Annual Depreciation Expense  (Historic TCOS, ln 259)</v>
      </c>
      <c r="D86" s="334"/>
      <c r="E86" s="245"/>
      <c r="F86" s="343">
        <f>R124</f>
        <v>22297433.163791802</v>
      </c>
      <c r="G86" s="244"/>
      <c r="H86" s="326"/>
      <c r="I86" s="649"/>
      <c r="J86" s="649"/>
      <c r="K86" s="649"/>
      <c r="L86" s="649"/>
      <c r="M86" s="649"/>
      <c r="N86" s="649"/>
      <c r="O86" s="244"/>
      <c r="P86" s="244"/>
      <c r="Q86" s="244"/>
      <c r="R86" s="244"/>
      <c r="S86" s="244"/>
      <c r="T86" s="244"/>
      <c r="U86" s="244"/>
    </row>
    <row r="87" spans="2:21" ht="12.5">
      <c r="B87" s="244"/>
      <c r="C87" s="249" t="s">
        <v>39</v>
      </c>
      <c r="D87" s="293"/>
      <c r="E87" s="244"/>
      <c r="F87" s="345">
        <f>F86/F85</f>
        <v>2.4524581936300367E-2</v>
      </c>
      <c r="G87" s="244"/>
      <c r="H87" s="346"/>
      <c r="I87" s="649"/>
      <c r="J87" s="649"/>
      <c r="K87" s="649"/>
      <c r="L87" s="649"/>
      <c r="M87" s="649"/>
      <c r="N87" s="649"/>
      <c r="O87" s="244"/>
      <c r="P87" s="244"/>
      <c r="Q87" s="244"/>
      <c r="R87" s="244"/>
      <c r="S87" s="244"/>
      <c r="T87" s="244"/>
      <c r="U87" s="244"/>
    </row>
    <row r="88" spans="2:21" ht="12.5">
      <c r="B88" s="244"/>
      <c r="C88" s="249" t="s">
        <v>40</v>
      </c>
      <c r="D88" s="293"/>
      <c r="E88" s="244"/>
      <c r="F88" s="347">
        <f>IF(F87=0,0,1/F87)</f>
        <v>40.775414749061937</v>
      </c>
      <c r="H88" s="326"/>
      <c r="I88" s="244"/>
      <c r="J88" s="279"/>
      <c r="K88" s="244"/>
      <c r="L88" s="244"/>
      <c r="M88" s="244"/>
      <c r="N88" s="244"/>
      <c r="O88" s="244"/>
      <c r="P88" s="244"/>
      <c r="Q88" s="244"/>
      <c r="R88" s="244"/>
      <c r="S88" s="244"/>
      <c r="T88" s="244"/>
      <c r="U88" s="244"/>
    </row>
    <row r="89" spans="2:21" ht="12.5">
      <c r="B89" s="244"/>
      <c r="C89" s="249" t="s">
        <v>41</v>
      </c>
      <c r="D89" s="293"/>
      <c r="E89" s="244"/>
      <c r="F89" s="348">
        <f>ROUND(F88,0)</f>
        <v>41</v>
      </c>
      <c r="G89" s="244"/>
      <c r="H89" s="326"/>
      <c r="I89" s="244"/>
      <c r="J89" s="279"/>
      <c r="K89" s="244"/>
      <c r="L89" s="244"/>
      <c r="M89" s="244"/>
      <c r="N89" s="244"/>
      <c r="O89" s="244"/>
      <c r="P89" s="244"/>
      <c r="Q89" s="244"/>
      <c r="R89" s="244"/>
      <c r="S89" s="244"/>
      <c r="T89" s="244"/>
      <c r="U89" s="244"/>
    </row>
    <row r="90" spans="2:21" ht="12.5">
      <c r="C90" s="349"/>
      <c r="D90" s="350"/>
      <c r="E90" s="350"/>
      <c r="F90" s="350"/>
      <c r="G90" s="295"/>
      <c r="H90" s="295"/>
      <c r="I90" s="351"/>
      <c r="J90" s="351"/>
      <c r="K90" s="351"/>
      <c r="L90" s="351"/>
      <c r="M90" s="351"/>
      <c r="N90" s="351"/>
      <c r="O90" s="279"/>
      <c r="P90" s="279"/>
      <c r="Q90" s="244"/>
      <c r="R90" s="244"/>
      <c r="S90" s="244"/>
      <c r="T90" s="244"/>
      <c r="U90" s="244"/>
    </row>
    <row r="91" spans="2:21" ht="12.5">
      <c r="C91" s="349"/>
      <c r="D91" s="350"/>
      <c r="E91" s="350"/>
      <c r="F91" s="350"/>
      <c r="G91" s="295"/>
      <c r="H91" s="295"/>
      <c r="I91" s="351"/>
      <c r="J91" s="351"/>
      <c r="K91" s="351"/>
      <c r="L91" s="351"/>
      <c r="M91" s="351"/>
      <c r="N91" s="351"/>
      <c r="O91" s="279"/>
      <c r="P91" s="279"/>
      <c r="Q91" s="244"/>
      <c r="R91" s="244"/>
      <c r="S91" s="244"/>
      <c r="T91" s="244"/>
      <c r="U91" s="244"/>
    </row>
    <row r="92" spans="2:21" ht="12.5">
      <c r="J92" s="221"/>
      <c r="P92" s="244"/>
      <c r="Q92" s="244"/>
      <c r="R92" s="244"/>
      <c r="S92" s="244"/>
      <c r="T92" s="244"/>
      <c r="U92" s="244"/>
    </row>
    <row r="93" spans="2:21" ht="13">
      <c r="J93" s="221"/>
      <c r="P93" s="244"/>
      <c r="Q93" s="244"/>
      <c r="R93" s="352" t="s">
        <v>111</v>
      </c>
      <c r="S93" s="145" t="s">
        <v>112</v>
      </c>
      <c r="U93" s="244"/>
    </row>
    <row r="94" spans="2:21" ht="12.5">
      <c r="J94" s="221"/>
      <c r="P94" s="244"/>
      <c r="Q94" s="244"/>
      <c r="U94" s="244"/>
    </row>
    <row r="95" spans="2:21" ht="13">
      <c r="C95" s="233" t="s">
        <v>108</v>
      </c>
      <c r="J95" s="221"/>
      <c r="L95" s="233" t="s">
        <v>107</v>
      </c>
      <c r="P95" s="244"/>
      <c r="Q95" s="244"/>
      <c r="U95" s="244"/>
    </row>
    <row r="96" spans="2:21" ht="13">
      <c r="J96" s="221"/>
      <c r="P96" s="244"/>
      <c r="Q96" s="244"/>
      <c r="R96" s="352" t="s">
        <v>102</v>
      </c>
      <c r="S96" s="353" t="s">
        <v>250</v>
      </c>
      <c r="U96" s="244"/>
    </row>
    <row r="97" spans="10:21" ht="13">
      <c r="J97" s="221"/>
      <c r="P97" s="244"/>
      <c r="Q97" s="244"/>
      <c r="R97" s="352"/>
      <c r="S97" s="201" t="s">
        <v>106</v>
      </c>
      <c r="U97" s="244"/>
    </row>
    <row r="98" spans="10:21" ht="13.5" thickBot="1">
      <c r="J98" s="221"/>
      <c r="P98" s="244"/>
      <c r="Q98" s="244"/>
      <c r="R98" s="354" t="s">
        <v>184</v>
      </c>
      <c r="U98" s="244"/>
    </row>
    <row r="99" spans="10:21" ht="12.5">
      <c r="J99" s="221"/>
      <c r="P99" s="244"/>
      <c r="Q99" s="244"/>
      <c r="R99" s="355" t="s">
        <v>126</v>
      </c>
      <c r="S99" s="356" t="s">
        <v>127</v>
      </c>
      <c r="U99" s="244"/>
    </row>
    <row r="100" spans="10:21" ht="12.5">
      <c r="J100" s="221"/>
      <c r="P100" s="244"/>
      <c r="Q100" s="244"/>
      <c r="R100" s="357">
        <v>2019</v>
      </c>
      <c r="S100" s="358" t="s">
        <v>287</v>
      </c>
      <c r="T100" s="244"/>
      <c r="U100" s="244"/>
    </row>
    <row r="101" spans="10:21" ht="12.5">
      <c r="J101" s="221"/>
      <c r="P101" s="244"/>
      <c r="Q101" s="244"/>
      <c r="R101" s="359">
        <v>0.105</v>
      </c>
      <c r="S101" s="358" t="s">
        <v>271</v>
      </c>
      <c r="T101" s="244"/>
      <c r="U101" s="244"/>
    </row>
    <row r="102" spans="10:21" ht="12.5">
      <c r="J102" s="221"/>
      <c r="P102" s="244"/>
      <c r="Q102" s="244"/>
      <c r="R102" s="360">
        <v>0</v>
      </c>
      <c r="S102" s="358" t="s">
        <v>1</v>
      </c>
      <c r="T102" s="244"/>
      <c r="U102" s="244"/>
    </row>
    <row r="103" spans="10:21" ht="12.5">
      <c r="J103" s="221"/>
      <c r="P103" s="244"/>
      <c r="Q103" s="244"/>
      <c r="R103" s="361">
        <v>0.50222415357443884</v>
      </c>
      <c r="S103" s="362" t="s">
        <v>97</v>
      </c>
      <c r="T103" s="244"/>
      <c r="U103" s="244"/>
    </row>
    <row r="104" spans="10:21" ht="12.5">
      <c r="J104" s="221"/>
      <c r="P104" s="244"/>
      <c r="Q104" s="244"/>
      <c r="R104" s="361">
        <v>4.0794729780917298E-2</v>
      </c>
      <c r="S104" s="362" t="s">
        <v>98</v>
      </c>
      <c r="T104" s="244"/>
      <c r="U104" s="244"/>
    </row>
    <row r="105" spans="10:21" ht="12.5">
      <c r="J105" s="221"/>
      <c r="P105" s="244"/>
      <c r="Q105" s="244"/>
      <c r="R105" s="361">
        <v>0</v>
      </c>
      <c r="S105" s="362" t="s">
        <v>99</v>
      </c>
      <c r="T105" s="244"/>
      <c r="U105" s="244"/>
    </row>
    <row r="106" spans="10:21" ht="12.5">
      <c r="J106" s="221"/>
      <c r="P106" s="244"/>
      <c r="Q106" s="244"/>
      <c r="R106" s="361">
        <v>0</v>
      </c>
      <c r="S106" s="362" t="s">
        <v>100</v>
      </c>
      <c r="T106" s="244"/>
      <c r="U106" s="244"/>
    </row>
    <row r="107" spans="10:21" ht="12.5">
      <c r="J107" s="221"/>
      <c r="P107" s="244"/>
      <c r="Q107" s="244"/>
      <c r="R107" s="361">
        <v>0.49777584642556127</v>
      </c>
      <c r="S107" s="363" t="s">
        <v>101</v>
      </c>
      <c r="T107" s="244"/>
      <c r="U107" s="244"/>
    </row>
    <row r="108" spans="10:21" ht="12.5">
      <c r="J108" s="221"/>
      <c r="P108" s="244"/>
      <c r="Q108" s="244"/>
      <c r="R108" s="364">
        <v>699396112.08829069</v>
      </c>
      <c r="S108" s="365" t="s">
        <v>272</v>
      </c>
      <c r="T108" s="244"/>
      <c r="U108" s="244"/>
    </row>
    <row r="109" spans="10:21" ht="12.5">
      <c r="J109" s="221"/>
      <c r="P109" s="244"/>
      <c r="Q109" s="244"/>
      <c r="R109" s="366">
        <v>0.38678999999999997</v>
      </c>
      <c r="S109" s="367" t="s">
        <v>273</v>
      </c>
      <c r="T109" s="244"/>
      <c r="U109" s="244"/>
    </row>
    <row r="110" spans="10:21" ht="12.5">
      <c r="J110" s="221"/>
      <c r="P110" s="244"/>
      <c r="Q110" s="244"/>
      <c r="R110" s="368">
        <v>0</v>
      </c>
      <c r="S110" s="367" t="s">
        <v>274</v>
      </c>
      <c r="T110" s="244"/>
      <c r="U110" s="244"/>
    </row>
    <row r="111" spans="10:21" ht="12.5">
      <c r="J111" s="221"/>
      <c r="P111" s="244"/>
      <c r="Q111" s="244"/>
      <c r="R111" s="368">
        <v>0</v>
      </c>
      <c r="S111" s="367" t="s">
        <v>275</v>
      </c>
      <c r="T111" s="244"/>
      <c r="U111" s="244"/>
    </row>
    <row r="112" spans="10:21" ht="12.5">
      <c r="J112" s="221"/>
      <c r="P112" s="244"/>
      <c r="Q112" s="244"/>
      <c r="R112" s="368">
        <v>356158.57536569849</v>
      </c>
      <c r="S112" s="367" t="s">
        <v>288</v>
      </c>
      <c r="T112" s="244"/>
      <c r="U112" s="244"/>
    </row>
    <row r="113" spans="3:21" ht="12.5">
      <c r="C113" s="244"/>
      <c r="D113" s="293"/>
      <c r="E113" s="244"/>
      <c r="F113" s="244"/>
      <c r="G113" s="244"/>
      <c r="H113" s="326"/>
      <c r="I113" s="244"/>
      <c r="J113" s="279"/>
      <c r="K113" s="244"/>
      <c r="L113" s="244"/>
      <c r="M113" s="244"/>
      <c r="P113" s="244"/>
      <c r="Q113" s="244"/>
      <c r="R113" s="368">
        <v>122371399.0348953</v>
      </c>
      <c r="S113" s="367" t="s">
        <v>277</v>
      </c>
      <c r="T113" s="244"/>
      <c r="U113" s="244"/>
    </row>
    <row r="114" spans="3:21" ht="12.5">
      <c r="C114" s="244"/>
      <c r="D114" s="293"/>
      <c r="E114" s="244"/>
      <c r="F114" s="244"/>
      <c r="G114" s="244"/>
      <c r="H114" s="326"/>
      <c r="I114" s="244"/>
      <c r="J114" s="279"/>
      <c r="K114" s="244"/>
      <c r="L114" s="244"/>
      <c r="M114" s="244"/>
      <c r="P114" s="244"/>
      <c r="Q114" s="244"/>
      <c r="R114" s="368">
        <v>53321255.597391613</v>
      </c>
      <c r="S114" s="367" t="s">
        <v>278</v>
      </c>
      <c r="T114" s="244"/>
      <c r="U114" s="244"/>
    </row>
    <row r="115" spans="3:21" ht="12.5">
      <c r="C115" s="244"/>
      <c r="D115" s="293"/>
      <c r="E115" s="244"/>
      <c r="F115" s="244"/>
      <c r="G115" s="244"/>
      <c r="H115" s="326"/>
      <c r="I115" s="244"/>
      <c r="J115" s="279"/>
      <c r="K115" s="244"/>
      <c r="L115" s="244"/>
      <c r="M115" s="244"/>
      <c r="P115" s="244"/>
      <c r="Q115" s="244"/>
      <c r="R115" s="368">
        <v>24950832.256548975</v>
      </c>
      <c r="S115" s="367" t="s">
        <v>279</v>
      </c>
      <c r="T115" s="244"/>
      <c r="U115" s="244"/>
    </row>
    <row r="116" spans="3:21" ht="12.5">
      <c r="C116" s="244"/>
      <c r="D116" s="293"/>
      <c r="E116" s="244"/>
      <c r="F116" s="244"/>
      <c r="G116" s="244"/>
      <c r="H116" s="326"/>
      <c r="I116" s="244"/>
      <c r="J116" s="279"/>
      <c r="K116" s="244"/>
      <c r="L116" s="244"/>
      <c r="M116" s="244"/>
      <c r="P116" s="244"/>
      <c r="Q116" s="244"/>
      <c r="R116" s="368">
        <v>0</v>
      </c>
      <c r="S116" s="367" t="s">
        <v>280</v>
      </c>
      <c r="T116" s="244"/>
      <c r="U116" s="244"/>
    </row>
    <row r="117" spans="3:21" ht="12.5">
      <c r="C117" s="244"/>
      <c r="D117" s="293"/>
      <c r="E117" s="244"/>
      <c r="F117" s="244"/>
      <c r="G117" s="244"/>
      <c r="H117" s="326"/>
      <c r="I117" s="244"/>
      <c r="J117" s="279"/>
      <c r="K117" s="244"/>
      <c r="L117" s="244"/>
      <c r="M117" s="244"/>
      <c r="P117" s="244"/>
      <c r="Q117" s="244"/>
      <c r="R117" s="368">
        <v>22297433.163791802</v>
      </c>
      <c r="S117" s="367" t="s">
        <v>281</v>
      </c>
      <c r="T117" s="244"/>
      <c r="U117" s="244"/>
    </row>
    <row r="118" spans="3:21" ht="12.5">
      <c r="C118" s="244"/>
      <c r="D118" s="293"/>
      <c r="E118" s="244"/>
      <c r="F118" s="244"/>
      <c r="G118" s="244"/>
      <c r="H118" s="326"/>
      <c r="I118" s="244"/>
      <c r="J118" s="279"/>
      <c r="K118" s="244"/>
      <c r="L118" s="244"/>
      <c r="M118" s="244"/>
      <c r="P118" s="244"/>
      <c r="Q118" s="244"/>
      <c r="R118" s="369">
        <v>0</v>
      </c>
      <c r="S118" s="367" t="s">
        <v>104</v>
      </c>
      <c r="T118" s="244"/>
      <c r="U118" s="244"/>
    </row>
    <row r="119" spans="3:21" ht="12.5">
      <c r="C119" s="244"/>
      <c r="D119" s="293"/>
      <c r="E119" s="244"/>
      <c r="F119" s="244"/>
      <c r="G119" s="244"/>
      <c r="H119" s="326"/>
      <c r="I119" s="244"/>
      <c r="J119" s="279"/>
      <c r="K119" s="244"/>
      <c r="L119" s="244"/>
      <c r="M119" s="244"/>
      <c r="P119" s="244"/>
      <c r="Q119" s="244"/>
      <c r="R119" s="368">
        <v>851758372.09995687</v>
      </c>
      <c r="S119" s="367" t="s">
        <v>282</v>
      </c>
      <c r="T119" s="244"/>
      <c r="U119" s="244"/>
    </row>
    <row r="120" spans="3:21" ht="12.5">
      <c r="C120" s="244"/>
      <c r="D120" s="293"/>
      <c r="E120" s="244"/>
      <c r="F120" s="244"/>
      <c r="G120" s="244"/>
      <c r="H120" s="326"/>
      <c r="I120" s="244"/>
      <c r="J120" s="279"/>
      <c r="K120" s="244"/>
      <c r="L120" s="244"/>
      <c r="M120" s="244"/>
      <c r="P120" s="244"/>
      <c r="Q120" s="244"/>
      <c r="R120" s="369">
        <v>0.11749102697326873</v>
      </c>
      <c r="S120" s="370" t="s">
        <v>283</v>
      </c>
      <c r="T120" s="244"/>
      <c r="U120" s="244"/>
    </row>
    <row r="121" spans="3:21" ht="12.5">
      <c r="C121" s="244"/>
      <c r="D121" s="293"/>
      <c r="E121" s="244"/>
      <c r="F121" s="244"/>
      <c r="G121" s="244"/>
      <c r="H121" s="326"/>
      <c r="I121" s="244"/>
      <c r="J121" s="279"/>
      <c r="K121" s="244"/>
      <c r="L121" s="244"/>
      <c r="M121" s="244"/>
      <c r="P121" s="244"/>
      <c r="Q121" s="244"/>
      <c r="R121" s="371">
        <v>833515368.56698298</v>
      </c>
      <c r="S121" s="362" t="s">
        <v>37</v>
      </c>
      <c r="T121" s="244"/>
      <c r="U121" s="244"/>
    </row>
    <row r="122" spans="3:21" ht="12.5">
      <c r="C122" s="244"/>
      <c r="D122" s="293"/>
      <c r="E122" s="244"/>
      <c r="F122" s="244"/>
      <c r="G122" s="244"/>
      <c r="H122" s="326"/>
      <c r="I122" s="244"/>
      <c r="J122" s="279"/>
      <c r="K122" s="244"/>
      <c r="L122" s="244"/>
      <c r="M122" s="244"/>
      <c r="P122" s="244"/>
      <c r="Q122" s="244"/>
      <c r="R122" s="372">
        <v>984858801.61921501</v>
      </c>
      <c r="S122" s="363" t="s">
        <v>38</v>
      </c>
      <c r="T122" s="244"/>
      <c r="U122" s="244"/>
    </row>
    <row r="123" spans="3:21" ht="12.5">
      <c r="C123" s="244"/>
      <c r="D123" s="293"/>
      <c r="E123" s="244"/>
      <c r="F123" s="244"/>
      <c r="G123" s="244"/>
      <c r="H123" s="326"/>
      <c r="I123" s="244"/>
      <c r="J123" s="279"/>
      <c r="K123" s="244"/>
      <c r="L123" s="244"/>
      <c r="M123" s="244"/>
      <c r="N123" s="244"/>
      <c r="P123" s="244"/>
      <c r="Q123" s="244"/>
      <c r="R123" s="372">
        <v>909187085.093099</v>
      </c>
      <c r="S123" s="373" t="s">
        <v>286</v>
      </c>
      <c r="T123" s="374"/>
      <c r="U123" s="244"/>
    </row>
    <row r="124" spans="3:21" ht="13" thickBot="1">
      <c r="C124" s="244"/>
      <c r="D124" s="293"/>
      <c r="E124" s="244"/>
      <c r="F124" s="244"/>
      <c r="G124" s="244"/>
      <c r="H124" s="326"/>
      <c r="I124" s="244"/>
      <c r="J124" s="279"/>
      <c r="K124" s="244"/>
      <c r="L124" s="244"/>
      <c r="M124" s="244"/>
      <c r="N124" s="244"/>
      <c r="P124" s="244"/>
      <c r="Q124" s="244"/>
      <c r="R124" s="375">
        <v>22297433.163791802</v>
      </c>
      <c r="S124" s="376" t="s">
        <v>258</v>
      </c>
      <c r="T124" s="244"/>
      <c r="U124" s="244"/>
    </row>
    <row r="125" spans="3:21" ht="12.5">
      <c r="C125" s="244"/>
      <c r="D125" s="293"/>
      <c r="E125" s="244"/>
      <c r="F125" s="244"/>
      <c r="G125" s="244"/>
      <c r="H125" s="326"/>
      <c r="I125" s="244"/>
      <c r="J125" s="279"/>
      <c r="K125" s="244"/>
      <c r="L125" s="244"/>
      <c r="M125" s="244"/>
      <c r="N125" s="244"/>
      <c r="P125" s="244"/>
      <c r="Q125" s="244"/>
      <c r="R125" s="244"/>
      <c r="S125" s="244"/>
      <c r="T125" s="244"/>
      <c r="U125" s="244"/>
    </row>
    <row r="126" spans="3:21" ht="13">
      <c r="C126" s="244"/>
      <c r="D126" s="293"/>
      <c r="E126" s="244"/>
      <c r="F126" s="244"/>
      <c r="G126" s="244"/>
      <c r="H126" s="326"/>
      <c r="I126" s="244"/>
      <c r="J126" s="279"/>
      <c r="K126" s="244"/>
      <c r="L126" s="244"/>
      <c r="M126" s="244"/>
      <c r="N126" s="244"/>
      <c r="P126" s="244"/>
      <c r="Q126" s="244"/>
      <c r="R126" s="352" t="s">
        <v>103</v>
      </c>
      <c r="S126" s="244" t="s">
        <v>115</v>
      </c>
      <c r="T126" s="377"/>
      <c r="U126" s="344"/>
    </row>
    <row r="127" spans="3:21" ht="13.5" thickBot="1">
      <c r="C127" s="249"/>
      <c r="D127" s="322"/>
      <c r="E127" s="249"/>
      <c r="F127" s="249"/>
      <c r="G127" s="249"/>
      <c r="H127" s="324"/>
      <c r="I127" s="244"/>
      <c r="J127" s="279"/>
      <c r="K127" s="244"/>
      <c r="L127" s="244"/>
      <c r="M127" s="244"/>
      <c r="N127" s="244"/>
      <c r="P127" s="244"/>
      <c r="Q127" s="244"/>
      <c r="R127" s="354" t="s">
        <v>185</v>
      </c>
      <c r="S127" s="244"/>
      <c r="T127" s="377"/>
      <c r="U127" s="344"/>
    </row>
    <row r="128" spans="3:21" ht="12.5">
      <c r="C128" s="249"/>
      <c r="D128" s="322"/>
      <c r="E128" s="249"/>
      <c r="F128" s="249"/>
      <c r="G128" s="249"/>
      <c r="H128" s="324"/>
      <c r="I128" s="244"/>
      <c r="J128" s="279"/>
      <c r="K128" s="244"/>
      <c r="L128" s="244"/>
      <c r="M128" s="244"/>
      <c r="N128" s="244"/>
      <c r="P128" s="244"/>
      <c r="Q128" s="244"/>
      <c r="R128" s="378">
        <f>+M19</f>
        <v>36715956.554148674</v>
      </c>
      <c r="S128" s="244" t="str">
        <f>+K19&amp;" "&amp;M17</f>
        <v>PROJECTED YEAR Rev Require</v>
      </c>
      <c r="T128" s="377"/>
      <c r="U128" s="344"/>
    </row>
    <row r="129" spans="3:21" ht="12.5">
      <c r="C129" s="249"/>
      <c r="D129" s="322"/>
      <c r="E129" s="249"/>
      <c r="F129" s="249"/>
      <c r="G129" s="249"/>
      <c r="H129" s="324"/>
      <c r="I129" s="244"/>
      <c r="J129" s="279"/>
      <c r="K129" s="244"/>
      <c r="L129" s="244"/>
      <c r="M129" s="244"/>
      <c r="N129" s="244"/>
      <c r="O129" s="244"/>
      <c r="P129" s="244"/>
      <c r="Q129" s="244"/>
      <c r="R129" s="379">
        <f>+N19</f>
        <v>36715956.554148674</v>
      </c>
      <c r="S129" s="244" t="str">
        <f>K19&amp;" "&amp;N17</f>
        <v>PROJECTED YEAR  W Incentives</v>
      </c>
      <c r="T129" s="244"/>
      <c r="U129" s="244"/>
    </row>
    <row r="130" spans="3:21" ht="13" thickBot="1">
      <c r="C130" s="249"/>
      <c r="D130" s="322"/>
      <c r="E130" s="249"/>
      <c r="F130" s="249"/>
      <c r="G130" s="249"/>
      <c r="H130" s="324"/>
      <c r="I130" s="244"/>
      <c r="J130" s="279"/>
      <c r="K130" s="244"/>
      <c r="L130" s="244"/>
      <c r="M130" s="244"/>
      <c r="N130" s="244"/>
      <c r="O130" s="244"/>
      <c r="P130" s="244"/>
      <c r="Q130" s="244"/>
      <c r="R130" s="380">
        <f>+O19</f>
        <v>0</v>
      </c>
      <c r="S130" s="244" t="str">
        <f>K19&amp;" "&amp;O17</f>
        <v>PROJECTED YEAR Incentive Amounts</v>
      </c>
      <c r="T130" s="244"/>
      <c r="U130" s="244"/>
    </row>
    <row r="131" spans="3:21" ht="12.5">
      <c r="C131" s="249"/>
      <c r="D131" s="322"/>
      <c r="E131" s="249"/>
      <c r="F131" s="249"/>
      <c r="G131" s="249"/>
      <c r="H131" s="324"/>
      <c r="I131" s="244"/>
      <c r="J131" s="279"/>
      <c r="K131" s="244"/>
      <c r="L131" s="244"/>
      <c r="M131" s="244"/>
      <c r="N131" s="244"/>
      <c r="O131" s="244"/>
      <c r="P131" s="244"/>
      <c r="Q131" s="244"/>
      <c r="R131" s="244"/>
      <c r="S131" s="244"/>
      <c r="T131" s="244"/>
      <c r="U131" s="244"/>
    </row>
    <row r="132" spans="3:21" ht="12.75" customHeight="1">
      <c r="R132" s="244"/>
      <c r="S132" s="244"/>
    </row>
    <row r="133" spans="3:21" ht="12.75" customHeight="1">
      <c r="R133" s="352" t="s">
        <v>113</v>
      </c>
      <c r="S133" s="353" t="s">
        <v>114</v>
      </c>
    </row>
  </sheetData>
  <mergeCells count="9">
    <mergeCell ref="I82:N87"/>
    <mergeCell ref="K15:O16"/>
    <mergeCell ref="C8:H8"/>
    <mergeCell ref="C79:E80"/>
    <mergeCell ref="A1:J1"/>
    <mergeCell ref="A3:J3"/>
    <mergeCell ref="A5:J5"/>
    <mergeCell ref="A4:K4"/>
    <mergeCell ref="A2:J2"/>
  </mergeCells>
  <phoneticPr fontId="0" type="noConversion"/>
  <printOptions horizontalCentered="1"/>
  <pageMargins left="0.25" right="0.25" top="0.75" bottom="0.25" header="0.25" footer="0.5"/>
  <pageSetup scale="41" fitToHeight="2" orientation="landscape" horizontalDpi="1200" verticalDpi="1200" r:id="rId1"/>
  <headerFooter alignWithMargins="0">
    <oddHeader xml:space="preserve">&amp;R&amp;16AEPTCo - SPP Formula Rate
&amp;A TCOS - WS F
Page: &amp;P of &amp;N
</oddHeader>
    <oddFooter xml:space="preserve">&amp;C &amp;R </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P163"/>
  <sheetViews>
    <sheetView zoomScale="85" zoomScaleNormal="85" workbookViewId="0">
      <selection activeCell="D10" sqref="D10"/>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9.1796875" style="145" customWidth="1"/>
    <col min="18" max="22" width="8.7265625" style="145"/>
    <col min="23" max="23" width="9.1796875" style="145" customWidth="1"/>
    <col min="24" max="16384" width="8.7265625" style="145"/>
  </cols>
  <sheetData>
    <row r="1" spans="1:16" ht="20">
      <c r="A1" s="438" t="s">
        <v>189</v>
      </c>
      <c r="B1" s="244"/>
      <c r="C1" s="249"/>
      <c r="D1" s="293"/>
      <c r="E1" s="244"/>
      <c r="F1" s="340"/>
      <c r="G1" s="244"/>
      <c r="H1" s="326"/>
      <c r="J1" s="221"/>
      <c r="K1" s="439"/>
      <c r="L1" s="439"/>
      <c r="M1" s="439"/>
      <c r="P1" s="440" t="str">
        <f ca="1">"OKT Project "&amp;RIGHT(MID(CELL("filename",$A$1),FIND("]",CELL("filename",$A$1))+1,256),2)&amp;" of "&amp;COUNT('OKT.001:OKT.xyz - blank'!$P$3)-1</f>
        <v>OKT Project 17 of 19</v>
      </c>
    </row>
    <row r="2" spans="1:16" ht="17.5">
      <c r="B2" s="244"/>
      <c r="C2" s="244"/>
      <c r="D2" s="293"/>
      <c r="E2" s="244"/>
      <c r="F2" s="244"/>
      <c r="G2" s="244"/>
      <c r="H2" s="326"/>
      <c r="I2" s="244"/>
      <c r="J2" s="279"/>
      <c r="K2" s="244"/>
      <c r="L2" s="244"/>
      <c r="M2" s="244"/>
      <c r="N2" s="244"/>
      <c r="P2" s="442" t="s">
        <v>131</v>
      </c>
    </row>
    <row r="3" spans="1:16" ht="18">
      <c r="B3" s="234" t="s">
        <v>42</v>
      </c>
      <c r="C3" s="306" t="s">
        <v>43</v>
      </c>
      <c r="D3" s="293"/>
      <c r="E3" s="244"/>
      <c r="F3" s="244"/>
      <c r="G3" s="244"/>
      <c r="H3" s="326"/>
      <c r="I3" s="326"/>
      <c r="J3" s="295"/>
      <c r="K3" s="326"/>
      <c r="L3" s="326"/>
      <c r="M3" s="326"/>
      <c r="N3" s="326"/>
      <c r="O3" s="244"/>
      <c r="P3" s="578">
        <v>1</v>
      </c>
    </row>
    <row r="4" spans="1:16" ht="16" thickBot="1">
      <c r="C4" s="305"/>
      <c r="D4" s="293"/>
      <c r="E4" s="244"/>
      <c r="F4" s="244"/>
      <c r="G4" s="244"/>
      <c r="H4" s="326"/>
      <c r="I4" s="326"/>
      <c r="J4" s="295"/>
      <c r="K4" s="326"/>
      <c r="L4" s="326"/>
      <c r="M4" s="326"/>
      <c r="N4" s="326"/>
      <c r="O4" s="244"/>
      <c r="P4" s="244"/>
    </row>
    <row r="5" spans="1:16" ht="15.5">
      <c r="C5" s="444" t="s">
        <v>44</v>
      </c>
      <c r="D5" s="293"/>
      <c r="E5" s="244"/>
      <c r="F5" s="244"/>
      <c r="G5" s="445"/>
      <c r="H5" s="244" t="s">
        <v>45</v>
      </c>
      <c r="I5" s="244"/>
      <c r="J5" s="279"/>
      <c r="K5" s="446" t="s">
        <v>242</v>
      </c>
      <c r="L5" s="447"/>
      <c r="M5" s="448"/>
      <c r="N5" s="449">
        <f>VLOOKUP(I10,C17:I73,5)</f>
        <v>10725952.439931182</v>
      </c>
      <c r="P5" s="244"/>
    </row>
    <row r="6" spans="1:16" ht="15.5">
      <c r="C6" s="236"/>
      <c r="D6" s="293"/>
      <c r="E6" s="244"/>
      <c r="F6" s="244"/>
      <c r="G6" s="244"/>
      <c r="H6" s="450"/>
      <c r="I6" s="450"/>
      <c r="J6" s="451"/>
      <c r="K6" s="452" t="s">
        <v>243</v>
      </c>
      <c r="L6" s="453"/>
      <c r="M6" s="279"/>
      <c r="N6" s="454">
        <f>VLOOKUP(I10,C17:I73,6)</f>
        <v>10725952.439931182</v>
      </c>
      <c r="O6" s="244"/>
      <c r="P6" s="244"/>
    </row>
    <row r="7" spans="1:16" ht="13.5" thickBot="1">
      <c r="C7" s="455" t="s">
        <v>46</v>
      </c>
      <c r="D7" s="638" t="s">
        <v>247</v>
      </c>
      <c r="E7" s="244"/>
      <c r="F7" s="244"/>
      <c r="G7" s="244"/>
      <c r="H7" s="326"/>
      <c r="I7" s="326"/>
      <c r="J7" s="295"/>
      <c r="K7" s="457" t="s">
        <v>47</v>
      </c>
      <c r="L7" s="458"/>
      <c r="M7" s="458"/>
      <c r="N7" s="459">
        <f>+N6-N5</f>
        <v>0</v>
      </c>
      <c r="O7" s="244"/>
      <c r="P7" s="244"/>
    </row>
    <row r="8" spans="1:16" ht="13.5" thickBot="1">
      <c r="C8" s="460"/>
      <c r="D8" s="461" t="str">
        <f>IF(D10&lt;100000,"DOES NOT MEET SPP $100,000 MINIMUM INVESTMENT FOR REGIONAL BPU SHARING.","")</f>
        <v/>
      </c>
      <c r="E8" s="462"/>
      <c r="F8" s="462"/>
      <c r="G8" s="462"/>
      <c r="H8" s="462"/>
      <c r="I8" s="462"/>
      <c r="J8" s="463"/>
      <c r="K8" s="462"/>
      <c r="L8" s="462"/>
      <c r="M8" s="462"/>
      <c r="N8" s="462"/>
      <c r="O8" s="463"/>
      <c r="P8" s="249"/>
    </row>
    <row r="9" spans="1:16" ht="13.5" thickBot="1">
      <c r="C9" s="464" t="s">
        <v>48</v>
      </c>
      <c r="D9" s="465" t="s">
        <v>263</v>
      </c>
      <c r="E9" s="466"/>
      <c r="F9" s="466"/>
      <c r="G9" s="466"/>
      <c r="H9" s="466"/>
      <c r="I9" s="467"/>
      <c r="J9" s="468"/>
      <c r="O9" s="469"/>
      <c r="P9" s="279"/>
    </row>
    <row r="10" spans="1:16" ht="13">
      <c r="C10" s="470" t="s">
        <v>49</v>
      </c>
      <c r="D10" s="471">
        <v>88257196</v>
      </c>
      <c r="E10" s="300" t="s">
        <v>50</v>
      </c>
      <c r="F10" s="469"/>
      <c r="G10" s="409"/>
      <c r="H10" s="409"/>
      <c r="I10" s="472">
        <f>+OKT.WS.F.BPU.ATRR.Projected!R100</f>
        <v>2019</v>
      </c>
      <c r="J10" s="468"/>
      <c r="K10" s="295" t="s">
        <v>51</v>
      </c>
      <c r="O10" s="279"/>
      <c r="P10" s="279"/>
    </row>
    <row r="11" spans="1:16" ht="12.5">
      <c r="C11" s="473" t="s">
        <v>52</v>
      </c>
      <c r="D11" s="474">
        <v>2017</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row>
    <row r="12" spans="1:16" ht="12.5">
      <c r="C12" s="473" t="s">
        <v>54</v>
      </c>
      <c r="D12" s="471">
        <v>12</v>
      </c>
      <c r="E12" s="473" t="s">
        <v>55</v>
      </c>
      <c r="F12" s="409"/>
      <c r="G12" s="221"/>
      <c r="H12" s="221"/>
      <c r="I12" s="477">
        <f>OKT.WS.F.BPU.ATRR.Projected!$F$78</f>
        <v>0.11749102697326873</v>
      </c>
      <c r="J12" s="414"/>
      <c r="K12" s="145" t="s">
        <v>56</v>
      </c>
      <c r="O12" s="279"/>
      <c r="P12" s="279"/>
    </row>
    <row r="13" spans="1:16" ht="12.5">
      <c r="C13" s="473" t="s">
        <v>57</v>
      </c>
      <c r="D13" s="475">
        <f>+OKT.WS.F.BPU.ATRR.Projected!F$89</f>
        <v>41</v>
      </c>
      <c r="E13" s="473" t="s">
        <v>58</v>
      </c>
      <c r="F13" s="409"/>
      <c r="G13" s="221"/>
      <c r="H13" s="221"/>
      <c r="I13" s="477">
        <f>IF(G5="",I12,OKT.WS.F.BPU.ATRR.Projected!$F$77)</f>
        <v>0.11749102697326873</v>
      </c>
      <c r="J13" s="414"/>
      <c r="K13" s="295" t="s">
        <v>59</v>
      </c>
      <c r="L13" s="292"/>
      <c r="M13" s="292"/>
      <c r="N13" s="292"/>
      <c r="O13" s="279"/>
      <c r="P13" s="279"/>
    </row>
    <row r="14" spans="1:16" ht="13" thickBot="1">
      <c r="C14" s="473" t="s">
        <v>60</v>
      </c>
      <c r="D14" s="474" t="s">
        <v>61</v>
      </c>
      <c r="E14" s="279" t="s">
        <v>62</v>
      </c>
      <c r="F14" s="409"/>
      <c r="G14" s="221"/>
      <c r="H14" s="221"/>
      <c r="I14" s="478">
        <f>IF(D10=0,0,D10/D13)</f>
        <v>2152614.5365853659</v>
      </c>
      <c r="J14" s="295"/>
      <c r="K14" s="295"/>
      <c r="L14" s="295"/>
      <c r="M14" s="295"/>
      <c r="N14" s="295"/>
      <c r="O14" s="279"/>
      <c r="P14" s="279"/>
    </row>
    <row r="15" spans="1:16"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row>
    <row r="16" spans="1:16"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row>
    <row r="17" spans="2:16" ht="12.5">
      <c r="B17" s="145" t="str">
        <f t="shared" ref="B17:B71" si="0">IF(D17=F16,"","IU")</f>
        <v>IU</v>
      </c>
      <c r="C17" s="496">
        <f>IF(D11= "","-",D11)</f>
        <v>2017</v>
      </c>
      <c r="D17" s="613">
        <v>0</v>
      </c>
      <c r="E17" s="621">
        <v>0</v>
      </c>
      <c r="F17" s="613">
        <v>82823000</v>
      </c>
      <c r="G17" s="621">
        <v>4552779.1652027937</v>
      </c>
      <c r="H17" s="618">
        <v>4552779.1652027937</v>
      </c>
      <c r="I17" s="501">
        <f t="shared" ref="I17:I71" si="1">H17-G17</f>
        <v>0</v>
      </c>
      <c r="J17" s="501"/>
      <c r="K17" s="502">
        <f>+G17</f>
        <v>4552779.1652027937</v>
      </c>
      <c r="L17" s="504">
        <f t="shared" ref="L17:L71" si="2">IF(K17&lt;&gt;0,+G17-K17,0)</f>
        <v>0</v>
      </c>
      <c r="M17" s="502">
        <f>+H17</f>
        <v>4552779.1652027937</v>
      </c>
      <c r="N17" s="504">
        <f t="shared" ref="N17:N71" si="3">IF(M17&lt;&gt;0,+H17-M17,0)</f>
        <v>0</v>
      </c>
      <c r="O17" s="505">
        <f t="shared" ref="O17:O71" si="4">+N17-L17</f>
        <v>0</v>
      </c>
      <c r="P17" s="279"/>
    </row>
    <row r="18" spans="2:16" ht="12.5">
      <c r="B18" s="145" t="str">
        <f t="shared" si="0"/>
        <v/>
      </c>
      <c r="C18" s="496">
        <f>IF(D11="","-",+C17+1)</f>
        <v>2018</v>
      </c>
      <c r="D18" s="615">
        <v>82823000</v>
      </c>
      <c r="E18" s="614">
        <v>2031199.4497102054</v>
      </c>
      <c r="F18" s="615">
        <v>80791800.550289795</v>
      </c>
      <c r="G18" s="614">
        <v>10344766.031909464</v>
      </c>
      <c r="H18" s="618">
        <v>10344766.031909464</v>
      </c>
      <c r="I18" s="501">
        <f t="shared" si="1"/>
        <v>0</v>
      </c>
      <c r="J18" s="501"/>
      <c r="K18" s="593">
        <f>+G18</f>
        <v>10344766.031909464</v>
      </c>
      <c r="L18" s="597">
        <f t="shared" si="2"/>
        <v>0</v>
      </c>
      <c r="M18" s="593">
        <f>+H18</f>
        <v>10344766.031909464</v>
      </c>
      <c r="N18" s="505">
        <f t="shared" si="3"/>
        <v>0</v>
      </c>
      <c r="O18" s="505">
        <f t="shared" si="4"/>
        <v>0</v>
      </c>
      <c r="P18" s="279"/>
    </row>
    <row r="19" spans="2:16" ht="12.5">
      <c r="B19" s="145" t="str">
        <f t="shared" si="0"/>
        <v/>
      </c>
      <c r="C19" s="496">
        <f>IF(D11="","-",+C18+1)</f>
        <v>2019</v>
      </c>
      <c r="D19" s="615">
        <v>80791800.550289795</v>
      </c>
      <c r="E19" s="614">
        <v>2456434.6786346282</v>
      </c>
      <c r="F19" s="615">
        <v>78335365.871655166</v>
      </c>
      <c r="G19" s="614">
        <v>10725952.439931182</v>
      </c>
      <c r="H19" s="618">
        <v>10725952.439931182</v>
      </c>
      <c r="I19" s="501">
        <f t="shared" si="1"/>
        <v>0</v>
      </c>
      <c r="J19" s="501"/>
      <c r="K19" s="593">
        <f>+G19</f>
        <v>10725952.439931182</v>
      </c>
      <c r="L19" s="597">
        <f t="shared" ref="L19" si="5">IF(K19&lt;&gt;0,+G19-K19,0)</f>
        <v>0</v>
      </c>
      <c r="M19" s="593">
        <f>+H19</f>
        <v>10725952.439931182</v>
      </c>
      <c r="N19" s="505">
        <f t="shared" ref="N19" si="6">IF(M19&lt;&gt;0,+H19-M19,0)</f>
        <v>0</v>
      </c>
      <c r="O19" s="505">
        <f t="shared" ref="O19" si="7">+N19-L19</f>
        <v>0</v>
      </c>
      <c r="P19" s="279"/>
    </row>
    <row r="20" spans="2:16" ht="12.5">
      <c r="B20" s="145" t="str">
        <f t="shared" si="0"/>
        <v>IU</v>
      </c>
      <c r="C20" s="496">
        <f>IF(D11="","-",+C19+1)</f>
        <v>2020</v>
      </c>
      <c r="D20" s="509">
        <f>IF(F19+SUM(E$17:E19)=D$10,F19,D$10-SUM(E$17:E19))</f>
        <v>83769561.871655166</v>
      </c>
      <c r="E20" s="510">
        <f t="shared" ref="E20:E49" si="8">IF(+I$14&lt;F19,I$14,D20)</f>
        <v>2152614.5365853659</v>
      </c>
      <c r="F20" s="511">
        <f t="shared" ref="F20:F71" si="9">+D20-E20</f>
        <v>81616947.335069805</v>
      </c>
      <c r="G20" s="512">
        <f t="shared" ref="G20:G71" si="10">(D20+F20)/2*I$12+E20</f>
        <v>11868329.943696406</v>
      </c>
      <c r="H20" s="478">
        <f t="shared" ref="H20:H71" si="11">+(D20+F20)/2*I$13+E20</f>
        <v>11868329.943696406</v>
      </c>
      <c r="I20" s="501">
        <f t="shared" si="1"/>
        <v>0</v>
      </c>
      <c r="J20" s="501"/>
      <c r="K20" s="513"/>
      <c r="L20" s="505">
        <f t="shared" si="2"/>
        <v>0</v>
      </c>
      <c r="M20" s="513"/>
      <c r="N20" s="505">
        <f t="shared" si="3"/>
        <v>0</v>
      </c>
      <c r="O20" s="505">
        <f t="shared" si="4"/>
        <v>0</v>
      </c>
      <c r="P20" s="279"/>
    </row>
    <row r="21" spans="2:16" ht="12.5">
      <c r="B21" s="145" t="str">
        <f t="shared" si="0"/>
        <v/>
      </c>
      <c r="C21" s="496">
        <f>IF(D11="","-",+C20+1)</f>
        <v>2021</v>
      </c>
      <c r="D21" s="509">
        <f>IF(F20+SUM(E$17:E20)=D$10,F20,D$10-SUM(E$17:E20))</f>
        <v>81616947.335069805</v>
      </c>
      <c r="E21" s="510">
        <f t="shared" si="8"/>
        <v>2152614.5365853659</v>
      </c>
      <c r="F21" s="511">
        <f t="shared" si="9"/>
        <v>79464332.798484445</v>
      </c>
      <c r="G21" s="512">
        <f t="shared" si="10"/>
        <v>11615417.051115405</v>
      </c>
      <c r="H21" s="478">
        <f t="shared" si="11"/>
        <v>11615417.051115405</v>
      </c>
      <c r="I21" s="501">
        <f t="shared" si="1"/>
        <v>0</v>
      </c>
      <c r="J21" s="501"/>
      <c r="K21" s="513"/>
      <c r="L21" s="505">
        <f t="shared" si="2"/>
        <v>0</v>
      </c>
      <c r="M21" s="513"/>
      <c r="N21" s="505">
        <f t="shared" si="3"/>
        <v>0</v>
      </c>
      <c r="O21" s="505">
        <f t="shared" si="4"/>
        <v>0</v>
      </c>
      <c r="P21" s="279"/>
    </row>
    <row r="22" spans="2:16" ht="12.5">
      <c r="B22" s="145" t="str">
        <f t="shared" si="0"/>
        <v/>
      </c>
      <c r="C22" s="496">
        <f>IF(D11="","-",+C21+1)</f>
        <v>2022</v>
      </c>
      <c r="D22" s="509">
        <f>IF(F21+SUM(E$17:E21)=D$10,F21,D$10-SUM(E$17:E21))</f>
        <v>79464332.798484445</v>
      </c>
      <c r="E22" s="510">
        <f t="shared" si="8"/>
        <v>2152614.5365853659</v>
      </c>
      <c r="F22" s="511">
        <f t="shared" si="9"/>
        <v>77311718.261899084</v>
      </c>
      <c r="G22" s="512">
        <f t="shared" si="10"/>
        <v>11362504.158534404</v>
      </c>
      <c r="H22" s="478">
        <f t="shared" si="11"/>
        <v>11362504.158534404</v>
      </c>
      <c r="I22" s="501">
        <f t="shared" si="1"/>
        <v>0</v>
      </c>
      <c r="J22" s="501"/>
      <c r="K22" s="513"/>
      <c r="L22" s="505">
        <f t="shared" si="2"/>
        <v>0</v>
      </c>
      <c r="M22" s="513"/>
      <c r="N22" s="505">
        <f t="shared" si="3"/>
        <v>0</v>
      </c>
      <c r="O22" s="505">
        <f t="shared" si="4"/>
        <v>0</v>
      </c>
      <c r="P22" s="279"/>
    </row>
    <row r="23" spans="2:16" ht="12.5">
      <c r="B23" s="145" t="str">
        <f t="shared" si="0"/>
        <v/>
      </c>
      <c r="C23" s="496">
        <f>IF(D11="","-",+C22+1)</f>
        <v>2023</v>
      </c>
      <c r="D23" s="509">
        <f>IF(F22+SUM(E$17:E22)=D$10,F22,D$10-SUM(E$17:E22))</f>
        <v>77311718.261899084</v>
      </c>
      <c r="E23" s="510">
        <f t="shared" si="8"/>
        <v>2152614.5365853659</v>
      </c>
      <c r="F23" s="511">
        <f t="shared" si="9"/>
        <v>75159103.725313723</v>
      </c>
      <c r="G23" s="512">
        <f t="shared" si="10"/>
        <v>11109591.265953403</v>
      </c>
      <c r="H23" s="478">
        <f t="shared" si="11"/>
        <v>11109591.265953403</v>
      </c>
      <c r="I23" s="501">
        <f t="shared" si="1"/>
        <v>0</v>
      </c>
      <c r="J23" s="501"/>
      <c r="K23" s="513"/>
      <c r="L23" s="505">
        <f t="shared" si="2"/>
        <v>0</v>
      </c>
      <c r="M23" s="513"/>
      <c r="N23" s="505">
        <f t="shared" si="3"/>
        <v>0</v>
      </c>
      <c r="O23" s="505">
        <f t="shared" si="4"/>
        <v>0</v>
      </c>
      <c r="P23" s="279"/>
    </row>
    <row r="24" spans="2:16" ht="12.5">
      <c r="B24" s="145" t="str">
        <f t="shared" si="0"/>
        <v/>
      </c>
      <c r="C24" s="496">
        <f>IF(D11="","-",+C23+1)</f>
        <v>2024</v>
      </c>
      <c r="D24" s="509">
        <f>IF(F23+SUM(E$17:E23)=D$10,F23,D$10-SUM(E$17:E23))</f>
        <v>75159103.725313723</v>
      </c>
      <c r="E24" s="510">
        <f t="shared" si="8"/>
        <v>2152614.5365853659</v>
      </c>
      <c r="F24" s="511">
        <f t="shared" si="9"/>
        <v>73006489.188728362</v>
      </c>
      <c r="G24" s="512">
        <f t="shared" si="10"/>
        <v>10856678.373372402</v>
      </c>
      <c r="H24" s="478">
        <f t="shared" si="11"/>
        <v>10856678.373372402</v>
      </c>
      <c r="I24" s="501">
        <f t="shared" si="1"/>
        <v>0</v>
      </c>
      <c r="J24" s="501"/>
      <c r="K24" s="513"/>
      <c r="L24" s="505">
        <f t="shared" si="2"/>
        <v>0</v>
      </c>
      <c r="M24" s="513"/>
      <c r="N24" s="505">
        <f t="shared" si="3"/>
        <v>0</v>
      </c>
      <c r="O24" s="505">
        <f t="shared" si="4"/>
        <v>0</v>
      </c>
      <c r="P24" s="279"/>
    </row>
    <row r="25" spans="2:16" ht="12.5">
      <c r="B25" s="145" t="str">
        <f t="shared" si="0"/>
        <v/>
      </c>
      <c r="C25" s="496">
        <f>IF(D11="","-",+C24+1)</f>
        <v>2025</v>
      </c>
      <c r="D25" s="509">
        <f>IF(F24+SUM(E$17:E24)=D$10,F24,D$10-SUM(E$17:E24))</f>
        <v>73006489.188728362</v>
      </c>
      <c r="E25" s="510">
        <f t="shared" si="8"/>
        <v>2152614.5365853659</v>
      </c>
      <c r="F25" s="511">
        <f t="shared" si="9"/>
        <v>70853874.652143002</v>
      </c>
      <c r="G25" s="512">
        <f t="shared" si="10"/>
        <v>10603765.480791401</v>
      </c>
      <c r="H25" s="478">
        <f t="shared" si="11"/>
        <v>10603765.480791401</v>
      </c>
      <c r="I25" s="501">
        <f t="shared" si="1"/>
        <v>0</v>
      </c>
      <c r="J25" s="501"/>
      <c r="K25" s="513"/>
      <c r="L25" s="505">
        <f t="shared" si="2"/>
        <v>0</v>
      </c>
      <c r="M25" s="513"/>
      <c r="N25" s="505">
        <f t="shared" si="3"/>
        <v>0</v>
      </c>
      <c r="O25" s="505">
        <f t="shared" si="4"/>
        <v>0</v>
      </c>
      <c r="P25" s="279"/>
    </row>
    <row r="26" spans="2:16" ht="12.5">
      <c r="B26" s="145" t="str">
        <f t="shared" si="0"/>
        <v/>
      </c>
      <c r="C26" s="496">
        <f>IF(D11="","-",+C25+1)</f>
        <v>2026</v>
      </c>
      <c r="D26" s="509">
        <f>IF(F25+SUM(E$17:E25)=D$10,F25,D$10-SUM(E$17:E25))</f>
        <v>70853874.652143002</v>
      </c>
      <c r="E26" s="510">
        <f t="shared" si="8"/>
        <v>2152614.5365853659</v>
      </c>
      <c r="F26" s="511">
        <f t="shared" si="9"/>
        <v>68701260.115557641</v>
      </c>
      <c r="G26" s="512">
        <f t="shared" si="10"/>
        <v>10350852.5882104</v>
      </c>
      <c r="H26" s="478">
        <f t="shared" si="11"/>
        <v>10350852.5882104</v>
      </c>
      <c r="I26" s="501">
        <f t="shared" si="1"/>
        <v>0</v>
      </c>
      <c r="J26" s="501"/>
      <c r="K26" s="513"/>
      <c r="L26" s="505">
        <f t="shared" si="2"/>
        <v>0</v>
      </c>
      <c r="M26" s="513"/>
      <c r="N26" s="505">
        <f t="shared" si="3"/>
        <v>0</v>
      </c>
      <c r="O26" s="505">
        <f t="shared" si="4"/>
        <v>0</v>
      </c>
      <c r="P26" s="279"/>
    </row>
    <row r="27" spans="2:16" ht="12.5">
      <c r="B27" s="145" t="str">
        <f t="shared" si="0"/>
        <v/>
      </c>
      <c r="C27" s="496">
        <f>IF(D11="","-",+C26+1)</f>
        <v>2027</v>
      </c>
      <c r="D27" s="509">
        <f>IF(F26+SUM(E$17:E26)=D$10,F26,D$10-SUM(E$17:E26))</f>
        <v>68701260.115557641</v>
      </c>
      <c r="E27" s="510">
        <f t="shared" si="8"/>
        <v>2152614.5365853659</v>
      </c>
      <c r="F27" s="511">
        <f t="shared" si="9"/>
        <v>66548645.578972273</v>
      </c>
      <c r="G27" s="512">
        <f t="shared" si="10"/>
        <v>10097939.695629399</v>
      </c>
      <c r="H27" s="478">
        <f t="shared" si="11"/>
        <v>10097939.695629399</v>
      </c>
      <c r="I27" s="501">
        <f t="shared" si="1"/>
        <v>0</v>
      </c>
      <c r="J27" s="501"/>
      <c r="K27" s="513"/>
      <c r="L27" s="505">
        <f t="shared" si="2"/>
        <v>0</v>
      </c>
      <c r="M27" s="513"/>
      <c r="N27" s="505">
        <f t="shared" si="3"/>
        <v>0</v>
      </c>
      <c r="O27" s="505">
        <f t="shared" si="4"/>
        <v>0</v>
      </c>
      <c r="P27" s="279"/>
    </row>
    <row r="28" spans="2:16" ht="12.5">
      <c r="B28" s="145" t="str">
        <f t="shared" si="0"/>
        <v/>
      </c>
      <c r="C28" s="496">
        <f>IF(D11="","-",+C27+1)</f>
        <v>2028</v>
      </c>
      <c r="D28" s="509">
        <f>IF(F27+SUM(E$17:E27)=D$10,F27,D$10-SUM(E$17:E27))</f>
        <v>66548645.578972273</v>
      </c>
      <c r="E28" s="510">
        <f t="shared" si="8"/>
        <v>2152614.5365853659</v>
      </c>
      <c r="F28" s="511">
        <f t="shared" si="9"/>
        <v>64396031.042386904</v>
      </c>
      <c r="G28" s="512">
        <f t="shared" si="10"/>
        <v>9845026.8030483965</v>
      </c>
      <c r="H28" s="478">
        <f t="shared" si="11"/>
        <v>9845026.8030483965</v>
      </c>
      <c r="I28" s="501">
        <f t="shared" si="1"/>
        <v>0</v>
      </c>
      <c r="J28" s="501"/>
      <c r="K28" s="513"/>
      <c r="L28" s="505">
        <f t="shared" si="2"/>
        <v>0</v>
      </c>
      <c r="M28" s="513"/>
      <c r="N28" s="505">
        <f t="shared" si="3"/>
        <v>0</v>
      </c>
      <c r="O28" s="505">
        <f t="shared" si="4"/>
        <v>0</v>
      </c>
      <c r="P28" s="279"/>
    </row>
    <row r="29" spans="2:16" ht="12.5">
      <c r="B29" s="145" t="str">
        <f t="shared" si="0"/>
        <v/>
      </c>
      <c r="C29" s="496">
        <f>IF(D11="","-",+C28+1)</f>
        <v>2029</v>
      </c>
      <c r="D29" s="509">
        <f>IF(F28+SUM(E$17:E28)=D$10,F28,D$10-SUM(E$17:E28))</f>
        <v>64396031.042386904</v>
      </c>
      <c r="E29" s="510">
        <f t="shared" si="8"/>
        <v>2152614.5365853659</v>
      </c>
      <c r="F29" s="511">
        <f t="shared" si="9"/>
        <v>62243416.505801536</v>
      </c>
      <c r="G29" s="512">
        <f t="shared" si="10"/>
        <v>9592113.9104673956</v>
      </c>
      <c r="H29" s="478">
        <f t="shared" si="11"/>
        <v>9592113.9104673956</v>
      </c>
      <c r="I29" s="501">
        <f t="shared" si="1"/>
        <v>0</v>
      </c>
      <c r="J29" s="501"/>
      <c r="K29" s="513"/>
      <c r="L29" s="505">
        <f t="shared" si="2"/>
        <v>0</v>
      </c>
      <c r="M29" s="513"/>
      <c r="N29" s="505">
        <f t="shared" si="3"/>
        <v>0</v>
      </c>
      <c r="O29" s="505">
        <f t="shared" si="4"/>
        <v>0</v>
      </c>
      <c r="P29" s="279"/>
    </row>
    <row r="30" spans="2:16" ht="12.5">
      <c r="B30" s="145" t="str">
        <f t="shared" si="0"/>
        <v/>
      </c>
      <c r="C30" s="496">
        <f>IF(D11="","-",+C29+1)</f>
        <v>2030</v>
      </c>
      <c r="D30" s="509">
        <f>IF(F29+SUM(E$17:E29)=D$10,F29,D$10-SUM(E$17:E29))</f>
        <v>62243416.505801536</v>
      </c>
      <c r="E30" s="510">
        <f t="shared" si="8"/>
        <v>2152614.5365853659</v>
      </c>
      <c r="F30" s="511">
        <f t="shared" si="9"/>
        <v>60090801.969216168</v>
      </c>
      <c r="G30" s="512">
        <f t="shared" si="10"/>
        <v>9339201.0178863928</v>
      </c>
      <c r="H30" s="478">
        <f t="shared" si="11"/>
        <v>9339201.0178863928</v>
      </c>
      <c r="I30" s="501">
        <f t="shared" si="1"/>
        <v>0</v>
      </c>
      <c r="J30" s="501"/>
      <c r="K30" s="513"/>
      <c r="L30" s="505">
        <f t="shared" si="2"/>
        <v>0</v>
      </c>
      <c r="M30" s="513"/>
      <c r="N30" s="505">
        <f t="shared" si="3"/>
        <v>0</v>
      </c>
      <c r="O30" s="505">
        <f t="shared" si="4"/>
        <v>0</v>
      </c>
      <c r="P30" s="279"/>
    </row>
    <row r="31" spans="2:16" ht="12.5">
      <c r="B31" s="145" t="str">
        <f t="shared" si="0"/>
        <v/>
      </c>
      <c r="C31" s="496">
        <f>IF(D11="","-",+C30+1)</f>
        <v>2031</v>
      </c>
      <c r="D31" s="509">
        <f>IF(F30+SUM(E$17:E30)=D$10,F30,D$10-SUM(E$17:E30))</f>
        <v>60090801.969216168</v>
      </c>
      <c r="E31" s="510">
        <f t="shared" si="8"/>
        <v>2152614.5365853659</v>
      </c>
      <c r="F31" s="511">
        <f t="shared" si="9"/>
        <v>57938187.4326308</v>
      </c>
      <c r="G31" s="512">
        <f t="shared" si="10"/>
        <v>9086288.1253053918</v>
      </c>
      <c r="H31" s="478">
        <f t="shared" si="11"/>
        <v>9086288.1253053918</v>
      </c>
      <c r="I31" s="501">
        <f t="shared" si="1"/>
        <v>0</v>
      </c>
      <c r="J31" s="501"/>
      <c r="K31" s="513"/>
      <c r="L31" s="505">
        <f t="shared" si="2"/>
        <v>0</v>
      </c>
      <c r="M31" s="513"/>
      <c r="N31" s="505">
        <f t="shared" si="3"/>
        <v>0</v>
      </c>
      <c r="O31" s="505">
        <f t="shared" si="4"/>
        <v>0</v>
      </c>
      <c r="P31" s="279"/>
    </row>
    <row r="32" spans="2:16" ht="12.5">
      <c r="B32" s="145" t="str">
        <f t="shared" si="0"/>
        <v/>
      </c>
      <c r="C32" s="496">
        <f>IF(D11="","-",+C31+1)</f>
        <v>2032</v>
      </c>
      <c r="D32" s="509">
        <f>IF(F31+SUM(E$17:E31)=D$10,F31,D$10-SUM(E$17:E31))</f>
        <v>57938187.4326308</v>
      </c>
      <c r="E32" s="510">
        <f t="shared" si="8"/>
        <v>2152614.5365853659</v>
      </c>
      <c r="F32" s="511">
        <f t="shared" si="9"/>
        <v>55785572.896045431</v>
      </c>
      <c r="G32" s="512">
        <f t="shared" si="10"/>
        <v>8833375.2327243891</v>
      </c>
      <c r="H32" s="478">
        <f t="shared" si="11"/>
        <v>8833375.2327243891</v>
      </c>
      <c r="I32" s="501">
        <f t="shared" si="1"/>
        <v>0</v>
      </c>
      <c r="J32" s="501"/>
      <c r="K32" s="513"/>
      <c r="L32" s="505">
        <f t="shared" si="2"/>
        <v>0</v>
      </c>
      <c r="M32" s="513"/>
      <c r="N32" s="505">
        <f t="shared" si="3"/>
        <v>0</v>
      </c>
      <c r="O32" s="505">
        <f t="shared" si="4"/>
        <v>0</v>
      </c>
      <c r="P32" s="279"/>
    </row>
    <row r="33" spans="2:16" ht="12.5">
      <c r="B33" s="145" t="str">
        <f t="shared" si="0"/>
        <v/>
      </c>
      <c r="C33" s="496">
        <f>IF(D11="","-",+C32+1)</f>
        <v>2033</v>
      </c>
      <c r="D33" s="509">
        <f>IF(F32+SUM(E$17:E32)=D$10,F32,D$10-SUM(E$17:E32))</f>
        <v>55785572.896045431</v>
      </c>
      <c r="E33" s="510">
        <f t="shared" si="8"/>
        <v>2152614.5365853659</v>
      </c>
      <c r="F33" s="511">
        <f t="shared" si="9"/>
        <v>53632958.359460063</v>
      </c>
      <c r="G33" s="512">
        <f t="shared" si="10"/>
        <v>8580462.3401433881</v>
      </c>
      <c r="H33" s="478">
        <f t="shared" si="11"/>
        <v>8580462.3401433881</v>
      </c>
      <c r="I33" s="501">
        <f t="shared" si="1"/>
        <v>0</v>
      </c>
      <c r="J33" s="501"/>
      <c r="K33" s="513"/>
      <c r="L33" s="505">
        <f t="shared" si="2"/>
        <v>0</v>
      </c>
      <c r="M33" s="513"/>
      <c r="N33" s="505">
        <f t="shared" si="3"/>
        <v>0</v>
      </c>
      <c r="O33" s="505">
        <f t="shared" si="4"/>
        <v>0</v>
      </c>
      <c r="P33" s="279"/>
    </row>
    <row r="34" spans="2:16" ht="12.5">
      <c r="B34" s="145" t="str">
        <f t="shared" si="0"/>
        <v/>
      </c>
      <c r="C34" s="496">
        <f>IF(D11="","-",+C33+1)</f>
        <v>2034</v>
      </c>
      <c r="D34" s="509">
        <f>IF(F33+SUM(E$17:E33)=D$10,F33,D$10-SUM(E$17:E33))</f>
        <v>53632958.359460063</v>
      </c>
      <c r="E34" s="510">
        <f t="shared" si="8"/>
        <v>2152614.5365853659</v>
      </c>
      <c r="F34" s="511">
        <f t="shared" si="9"/>
        <v>51480343.822874695</v>
      </c>
      <c r="G34" s="512">
        <f t="shared" si="10"/>
        <v>8327549.4475623854</v>
      </c>
      <c r="H34" s="478">
        <f t="shared" si="11"/>
        <v>8327549.4475623854</v>
      </c>
      <c r="I34" s="501">
        <f t="shared" si="1"/>
        <v>0</v>
      </c>
      <c r="J34" s="501"/>
      <c r="K34" s="513"/>
      <c r="L34" s="505">
        <f t="shared" si="2"/>
        <v>0</v>
      </c>
      <c r="M34" s="513"/>
      <c r="N34" s="505">
        <f t="shared" si="3"/>
        <v>0</v>
      </c>
      <c r="O34" s="505">
        <f t="shared" si="4"/>
        <v>0</v>
      </c>
      <c r="P34" s="279"/>
    </row>
    <row r="35" spans="2:16" ht="12.5">
      <c r="B35" s="145" t="str">
        <f t="shared" si="0"/>
        <v/>
      </c>
      <c r="C35" s="496">
        <f>IF(D11="","-",+C34+1)</f>
        <v>2035</v>
      </c>
      <c r="D35" s="509">
        <f>IF(F34+SUM(E$17:E34)=D$10,F34,D$10-SUM(E$17:E34))</f>
        <v>51480343.822874695</v>
      </c>
      <c r="E35" s="510">
        <f t="shared" si="8"/>
        <v>2152614.5365853659</v>
      </c>
      <c r="F35" s="511">
        <f t="shared" si="9"/>
        <v>49327729.286289327</v>
      </c>
      <c r="G35" s="512">
        <f t="shared" si="10"/>
        <v>8074636.5549813844</v>
      </c>
      <c r="H35" s="478">
        <f t="shared" si="11"/>
        <v>8074636.5549813844</v>
      </c>
      <c r="I35" s="501">
        <f t="shared" si="1"/>
        <v>0</v>
      </c>
      <c r="J35" s="501"/>
      <c r="K35" s="513"/>
      <c r="L35" s="505">
        <f t="shared" si="2"/>
        <v>0</v>
      </c>
      <c r="M35" s="513"/>
      <c r="N35" s="505">
        <f t="shared" si="3"/>
        <v>0</v>
      </c>
      <c r="O35" s="505">
        <f t="shared" si="4"/>
        <v>0</v>
      </c>
      <c r="P35" s="279"/>
    </row>
    <row r="36" spans="2:16" ht="12.5">
      <c r="B36" s="145" t="str">
        <f t="shared" si="0"/>
        <v/>
      </c>
      <c r="C36" s="496">
        <f>IF(D11="","-",+C35+1)</f>
        <v>2036</v>
      </c>
      <c r="D36" s="509">
        <f>IF(F35+SUM(E$17:E35)=D$10,F35,D$10-SUM(E$17:E35))</f>
        <v>49327729.286289327</v>
      </c>
      <c r="E36" s="510">
        <f t="shared" si="8"/>
        <v>2152614.5365853659</v>
      </c>
      <c r="F36" s="511">
        <f t="shared" si="9"/>
        <v>47175114.749703959</v>
      </c>
      <c r="G36" s="512">
        <f t="shared" si="10"/>
        <v>7821723.6624003816</v>
      </c>
      <c r="H36" s="478">
        <f t="shared" si="11"/>
        <v>7821723.6624003816</v>
      </c>
      <c r="I36" s="501">
        <f t="shared" si="1"/>
        <v>0</v>
      </c>
      <c r="J36" s="501"/>
      <c r="K36" s="513"/>
      <c r="L36" s="505">
        <f t="shared" si="2"/>
        <v>0</v>
      </c>
      <c r="M36" s="513"/>
      <c r="N36" s="505">
        <f t="shared" si="3"/>
        <v>0</v>
      </c>
      <c r="O36" s="505">
        <f t="shared" si="4"/>
        <v>0</v>
      </c>
      <c r="P36" s="279"/>
    </row>
    <row r="37" spans="2:16" ht="12.5">
      <c r="B37" s="145" t="str">
        <f t="shared" si="0"/>
        <v/>
      </c>
      <c r="C37" s="496">
        <f>IF(D11="","-",+C36+1)</f>
        <v>2037</v>
      </c>
      <c r="D37" s="509">
        <f>IF(F36+SUM(E$17:E36)=D$10,F36,D$10-SUM(E$17:E36))</f>
        <v>47175114.749703959</v>
      </c>
      <c r="E37" s="510">
        <f t="shared" si="8"/>
        <v>2152614.5365853659</v>
      </c>
      <c r="F37" s="511">
        <f t="shared" si="9"/>
        <v>45022500.21311859</v>
      </c>
      <c r="G37" s="512">
        <f t="shared" si="10"/>
        <v>7568810.7698193807</v>
      </c>
      <c r="H37" s="478">
        <f t="shared" si="11"/>
        <v>7568810.7698193807</v>
      </c>
      <c r="I37" s="501">
        <f t="shared" si="1"/>
        <v>0</v>
      </c>
      <c r="J37" s="501"/>
      <c r="K37" s="513"/>
      <c r="L37" s="505">
        <f t="shared" si="2"/>
        <v>0</v>
      </c>
      <c r="M37" s="513"/>
      <c r="N37" s="505">
        <f t="shared" si="3"/>
        <v>0</v>
      </c>
      <c r="O37" s="505">
        <f t="shared" si="4"/>
        <v>0</v>
      </c>
      <c r="P37" s="279"/>
    </row>
    <row r="38" spans="2:16" ht="12.5">
      <c r="B38" s="145" t="str">
        <f t="shared" si="0"/>
        <v/>
      </c>
      <c r="C38" s="496">
        <f>IF(D11="","-",+C37+1)</f>
        <v>2038</v>
      </c>
      <c r="D38" s="509">
        <f>IF(F37+SUM(E$17:E37)=D$10,F37,D$10-SUM(E$17:E37))</f>
        <v>45022500.21311859</v>
      </c>
      <c r="E38" s="510">
        <f t="shared" si="8"/>
        <v>2152614.5365853659</v>
      </c>
      <c r="F38" s="511">
        <f t="shared" si="9"/>
        <v>42869885.676533222</v>
      </c>
      <c r="G38" s="512">
        <f t="shared" si="10"/>
        <v>7315897.8772383779</v>
      </c>
      <c r="H38" s="478">
        <f t="shared" si="11"/>
        <v>7315897.8772383779</v>
      </c>
      <c r="I38" s="501">
        <f t="shared" si="1"/>
        <v>0</v>
      </c>
      <c r="J38" s="501"/>
      <c r="K38" s="513"/>
      <c r="L38" s="505">
        <f t="shared" si="2"/>
        <v>0</v>
      </c>
      <c r="M38" s="513"/>
      <c r="N38" s="505">
        <f t="shared" si="3"/>
        <v>0</v>
      </c>
      <c r="O38" s="505">
        <f t="shared" si="4"/>
        <v>0</v>
      </c>
      <c r="P38" s="279"/>
    </row>
    <row r="39" spans="2:16" ht="12.5">
      <c r="B39" s="145" t="str">
        <f t="shared" si="0"/>
        <v/>
      </c>
      <c r="C39" s="496">
        <f>IF(D11="","-",+C38+1)</f>
        <v>2039</v>
      </c>
      <c r="D39" s="509">
        <f>IF(F38+SUM(E$17:E38)=D$10,F38,D$10-SUM(E$17:E38))</f>
        <v>42869885.676533222</v>
      </c>
      <c r="E39" s="510">
        <f t="shared" si="8"/>
        <v>2152614.5365853659</v>
      </c>
      <c r="F39" s="511">
        <f t="shared" si="9"/>
        <v>40717271.139947854</v>
      </c>
      <c r="G39" s="512">
        <f t="shared" si="10"/>
        <v>7062984.984657377</v>
      </c>
      <c r="H39" s="478">
        <f t="shared" si="11"/>
        <v>7062984.984657377</v>
      </c>
      <c r="I39" s="501">
        <f t="shared" si="1"/>
        <v>0</v>
      </c>
      <c r="J39" s="501"/>
      <c r="K39" s="513"/>
      <c r="L39" s="505">
        <f t="shared" si="2"/>
        <v>0</v>
      </c>
      <c r="M39" s="513"/>
      <c r="N39" s="505">
        <f t="shared" si="3"/>
        <v>0</v>
      </c>
      <c r="O39" s="505">
        <f t="shared" si="4"/>
        <v>0</v>
      </c>
      <c r="P39" s="279"/>
    </row>
    <row r="40" spans="2:16" ht="12.5">
      <c r="B40" s="145" t="str">
        <f t="shared" si="0"/>
        <v/>
      </c>
      <c r="C40" s="496">
        <f>IF(D11="","-",+C39+1)</f>
        <v>2040</v>
      </c>
      <c r="D40" s="509">
        <f>IF(F39+SUM(E$17:E39)=D$10,F39,D$10-SUM(E$17:E39))</f>
        <v>40717271.139947854</v>
      </c>
      <c r="E40" s="510">
        <f t="shared" si="8"/>
        <v>2152614.5365853659</v>
      </c>
      <c r="F40" s="511">
        <f t="shared" si="9"/>
        <v>38564656.603362486</v>
      </c>
      <c r="G40" s="512">
        <f t="shared" si="10"/>
        <v>6810072.0920763742</v>
      </c>
      <c r="H40" s="478">
        <f t="shared" si="11"/>
        <v>6810072.0920763742</v>
      </c>
      <c r="I40" s="501">
        <f t="shared" si="1"/>
        <v>0</v>
      </c>
      <c r="J40" s="501"/>
      <c r="K40" s="513"/>
      <c r="L40" s="505">
        <f t="shared" si="2"/>
        <v>0</v>
      </c>
      <c r="M40" s="513"/>
      <c r="N40" s="505">
        <f t="shared" si="3"/>
        <v>0</v>
      </c>
      <c r="O40" s="505">
        <f t="shared" si="4"/>
        <v>0</v>
      </c>
      <c r="P40" s="279"/>
    </row>
    <row r="41" spans="2:16" ht="12.5">
      <c r="B41" s="145" t="str">
        <f t="shared" si="0"/>
        <v/>
      </c>
      <c r="C41" s="496">
        <f>IF(D11="","-",+C40+1)</f>
        <v>2041</v>
      </c>
      <c r="D41" s="509">
        <f>IF(F40+SUM(E$17:E40)=D$10,F40,D$10-SUM(E$17:E40))</f>
        <v>38564656.603362486</v>
      </c>
      <c r="E41" s="510">
        <f t="shared" si="8"/>
        <v>2152614.5365853659</v>
      </c>
      <c r="F41" s="511">
        <f t="shared" si="9"/>
        <v>36412042.066777118</v>
      </c>
      <c r="G41" s="512">
        <f t="shared" si="10"/>
        <v>6557159.1994953733</v>
      </c>
      <c r="H41" s="478">
        <f t="shared" si="11"/>
        <v>6557159.1994953733</v>
      </c>
      <c r="I41" s="501">
        <f t="shared" si="1"/>
        <v>0</v>
      </c>
      <c r="J41" s="501"/>
      <c r="K41" s="513"/>
      <c r="L41" s="505">
        <f t="shared" si="2"/>
        <v>0</v>
      </c>
      <c r="M41" s="513"/>
      <c r="N41" s="505">
        <f t="shared" si="3"/>
        <v>0</v>
      </c>
      <c r="O41" s="505">
        <f t="shared" si="4"/>
        <v>0</v>
      </c>
      <c r="P41" s="279"/>
    </row>
    <row r="42" spans="2:16" ht="12.5">
      <c r="B42" s="145" t="str">
        <f t="shared" si="0"/>
        <v/>
      </c>
      <c r="C42" s="496">
        <f>IF(D11="","-",+C41+1)</f>
        <v>2042</v>
      </c>
      <c r="D42" s="509">
        <f>IF(F41+SUM(E$17:E41)=D$10,F41,D$10-SUM(E$17:E41))</f>
        <v>36412042.066777118</v>
      </c>
      <c r="E42" s="510">
        <f t="shared" si="8"/>
        <v>2152614.5365853659</v>
      </c>
      <c r="F42" s="511">
        <f t="shared" si="9"/>
        <v>34259427.530191749</v>
      </c>
      <c r="G42" s="512">
        <f t="shared" si="10"/>
        <v>6304246.3069143705</v>
      </c>
      <c r="H42" s="478">
        <f t="shared" si="11"/>
        <v>6304246.3069143705</v>
      </c>
      <c r="I42" s="501">
        <f t="shared" si="1"/>
        <v>0</v>
      </c>
      <c r="J42" s="501"/>
      <c r="K42" s="513"/>
      <c r="L42" s="505">
        <f t="shared" si="2"/>
        <v>0</v>
      </c>
      <c r="M42" s="513"/>
      <c r="N42" s="505">
        <f t="shared" si="3"/>
        <v>0</v>
      </c>
      <c r="O42" s="505">
        <f t="shared" si="4"/>
        <v>0</v>
      </c>
      <c r="P42" s="279"/>
    </row>
    <row r="43" spans="2:16" ht="12.5">
      <c r="B43" s="145" t="str">
        <f t="shared" si="0"/>
        <v/>
      </c>
      <c r="C43" s="496">
        <f>IF(D11="","-",+C42+1)</f>
        <v>2043</v>
      </c>
      <c r="D43" s="509">
        <f>IF(F42+SUM(E$17:E42)=D$10,F42,D$10-SUM(E$17:E42))</f>
        <v>34259427.530191749</v>
      </c>
      <c r="E43" s="510">
        <f t="shared" si="8"/>
        <v>2152614.5365853659</v>
      </c>
      <c r="F43" s="511">
        <f t="shared" si="9"/>
        <v>32106812.993606385</v>
      </c>
      <c r="G43" s="512">
        <f t="shared" si="10"/>
        <v>6051333.4143333696</v>
      </c>
      <c r="H43" s="478">
        <f t="shared" si="11"/>
        <v>6051333.4143333696</v>
      </c>
      <c r="I43" s="501">
        <f t="shared" si="1"/>
        <v>0</v>
      </c>
      <c r="J43" s="501"/>
      <c r="K43" s="513"/>
      <c r="L43" s="505">
        <f t="shared" si="2"/>
        <v>0</v>
      </c>
      <c r="M43" s="513"/>
      <c r="N43" s="505">
        <f t="shared" si="3"/>
        <v>0</v>
      </c>
      <c r="O43" s="505">
        <f t="shared" si="4"/>
        <v>0</v>
      </c>
      <c r="P43" s="279"/>
    </row>
    <row r="44" spans="2:16" ht="12.5">
      <c r="B44" s="145" t="str">
        <f t="shared" si="0"/>
        <v/>
      </c>
      <c r="C44" s="496">
        <f>IF(D11="","-",+C43+1)</f>
        <v>2044</v>
      </c>
      <c r="D44" s="509">
        <f>IF(F43+SUM(E$17:E43)=D$10,F43,D$10-SUM(E$17:E43))</f>
        <v>32106812.993606385</v>
      </c>
      <c r="E44" s="510">
        <f t="shared" si="8"/>
        <v>2152614.5365853659</v>
      </c>
      <c r="F44" s="511">
        <f t="shared" si="9"/>
        <v>29954198.45702102</v>
      </c>
      <c r="G44" s="512">
        <f t="shared" si="10"/>
        <v>5798420.5217523677</v>
      </c>
      <c r="H44" s="478">
        <f t="shared" si="11"/>
        <v>5798420.5217523677</v>
      </c>
      <c r="I44" s="501">
        <f t="shared" si="1"/>
        <v>0</v>
      </c>
      <c r="J44" s="501"/>
      <c r="K44" s="513"/>
      <c r="L44" s="505">
        <f t="shared" si="2"/>
        <v>0</v>
      </c>
      <c r="M44" s="513"/>
      <c r="N44" s="505">
        <f t="shared" si="3"/>
        <v>0</v>
      </c>
      <c r="O44" s="505">
        <f t="shared" si="4"/>
        <v>0</v>
      </c>
      <c r="P44" s="279"/>
    </row>
    <row r="45" spans="2:16" ht="12.5">
      <c r="B45" s="145" t="str">
        <f t="shared" si="0"/>
        <v/>
      </c>
      <c r="C45" s="496">
        <f>IF(D11="","-",+C44+1)</f>
        <v>2045</v>
      </c>
      <c r="D45" s="509">
        <f>IF(F44+SUM(E$17:E44)=D$10,F44,D$10-SUM(E$17:E44))</f>
        <v>29954198.45702102</v>
      </c>
      <c r="E45" s="510">
        <f t="shared" si="8"/>
        <v>2152614.5365853659</v>
      </c>
      <c r="F45" s="511">
        <f t="shared" si="9"/>
        <v>27801583.920435656</v>
      </c>
      <c r="G45" s="512">
        <f t="shared" si="10"/>
        <v>5545507.6291713668</v>
      </c>
      <c r="H45" s="478">
        <f t="shared" si="11"/>
        <v>5545507.6291713668</v>
      </c>
      <c r="I45" s="501">
        <f t="shared" si="1"/>
        <v>0</v>
      </c>
      <c r="J45" s="501"/>
      <c r="K45" s="513"/>
      <c r="L45" s="505">
        <f t="shared" si="2"/>
        <v>0</v>
      </c>
      <c r="M45" s="513"/>
      <c r="N45" s="505">
        <f t="shared" si="3"/>
        <v>0</v>
      </c>
      <c r="O45" s="505">
        <f t="shared" si="4"/>
        <v>0</v>
      </c>
      <c r="P45" s="279"/>
    </row>
    <row r="46" spans="2:16" ht="12.5">
      <c r="B46" s="145" t="str">
        <f t="shared" si="0"/>
        <v/>
      </c>
      <c r="C46" s="496">
        <f>IF(D11="","-",+C45+1)</f>
        <v>2046</v>
      </c>
      <c r="D46" s="509">
        <f>IF(F45+SUM(E$17:E45)=D$10,F45,D$10-SUM(E$17:E45))</f>
        <v>27801583.920435656</v>
      </c>
      <c r="E46" s="510">
        <f t="shared" si="8"/>
        <v>2152614.5365853659</v>
      </c>
      <c r="F46" s="511">
        <f t="shared" si="9"/>
        <v>25648969.383850291</v>
      </c>
      <c r="G46" s="512">
        <f t="shared" si="10"/>
        <v>5292594.7365903649</v>
      </c>
      <c r="H46" s="478">
        <f t="shared" si="11"/>
        <v>5292594.7365903649</v>
      </c>
      <c r="I46" s="501">
        <f t="shared" si="1"/>
        <v>0</v>
      </c>
      <c r="J46" s="501"/>
      <c r="K46" s="513"/>
      <c r="L46" s="505">
        <f t="shared" si="2"/>
        <v>0</v>
      </c>
      <c r="M46" s="513"/>
      <c r="N46" s="505">
        <f t="shared" si="3"/>
        <v>0</v>
      </c>
      <c r="O46" s="505">
        <f t="shared" si="4"/>
        <v>0</v>
      </c>
      <c r="P46" s="279"/>
    </row>
    <row r="47" spans="2:16" ht="12.5">
      <c r="B47" s="145" t="str">
        <f t="shared" si="0"/>
        <v/>
      </c>
      <c r="C47" s="496">
        <f>IF(D11="","-",+C46+1)</f>
        <v>2047</v>
      </c>
      <c r="D47" s="509">
        <f>IF(F46+SUM(E$17:E46)=D$10,F46,D$10-SUM(E$17:E46))</f>
        <v>25648969.383850291</v>
      </c>
      <c r="E47" s="510">
        <f t="shared" si="8"/>
        <v>2152614.5365853659</v>
      </c>
      <c r="F47" s="511">
        <f t="shared" si="9"/>
        <v>23496354.847264927</v>
      </c>
      <c r="G47" s="512">
        <f t="shared" si="10"/>
        <v>5039681.844009364</v>
      </c>
      <c r="H47" s="478">
        <f t="shared" si="11"/>
        <v>5039681.844009364</v>
      </c>
      <c r="I47" s="501">
        <f t="shared" si="1"/>
        <v>0</v>
      </c>
      <c r="J47" s="501"/>
      <c r="K47" s="513"/>
      <c r="L47" s="505">
        <f t="shared" si="2"/>
        <v>0</v>
      </c>
      <c r="M47" s="513"/>
      <c r="N47" s="505">
        <f t="shared" si="3"/>
        <v>0</v>
      </c>
      <c r="O47" s="505">
        <f t="shared" si="4"/>
        <v>0</v>
      </c>
      <c r="P47" s="279"/>
    </row>
    <row r="48" spans="2:16" ht="12.5">
      <c r="B48" s="145" t="str">
        <f t="shared" si="0"/>
        <v/>
      </c>
      <c r="C48" s="496">
        <f>IF(D11="","-",+C47+1)</f>
        <v>2048</v>
      </c>
      <c r="D48" s="509">
        <f>IF(F47+SUM(E$17:E47)=D$10,F47,D$10-SUM(E$17:E47))</f>
        <v>23496354.847264927</v>
      </c>
      <c r="E48" s="510">
        <f t="shared" si="8"/>
        <v>2152614.5365853659</v>
      </c>
      <c r="F48" s="511">
        <f t="shared" si="9"/>
        <v>21343740.310679562</v>
      </c>
      <c r="G48" s="512">
        <f t="shared" si="10"/>
        <v>4786768.9514283612</v>
      </c>
      <c r="H48" s="478">
        <f t="shared" si="11"/>
        <v>4786768.9514283612</v>
      </c>
      <c r="I48" s="501">
        <f t="shared" si="1"/>
        <v>0</v>
      </c>
      <c r="J48" s="501"/>
      <c r="K48" s="513"/>
      <c r="L48" s="505">
        <f t="shared" si="2"/>
        <v>0</v>
      </c>
      <c r="M48" s="513"/>
      <c r="N48" s="505">
        <f t="shared" si="3"/>
        <v>0</v>
      </c>
      <c r="O48" s="505">
        <f t="shared" si="4"/>
        <v>0</v>
      </c>
      <c r="P48" s="279"/>
    </row>
    <row r="49" spans="2:16" ht="12.5">
      <c r="B49" s="145" t="str">
        <f t="shared" si="0"/>
        <v/>
      </c>
      <c r="C49" s="496">
        <f>IF(D11="","-",+C48+1)</f>
        <v>2049</v>
      </c>
      <c r="D49" s="509">
        <f>IF(F48+SUM(E$17:E48)=D$10,F48,D$10-SUM(E$17:E48))</f>
        <v>21343740.310679562</v>
      </c>
      <c r="E49" s="510">
        <f t="shared" si="8"/>
        <v>2152614.5365853659</v>
      </c>
      <c r="F49" s="511">
        <f t="shared" si="9"/>
        <v>19191125.774094198</v>
      </c>
      <c r="G49" s="512">
        <f t="shared" si="10"/>
        <v>4533856.0588473603</v>
      </c>
      <c r="H49" s="478">
        <f t="shared" si="11"/>
        <v>4533856.0588473603</v>
      </c>
      <c r="I49" s="501">
        <f t="shared" si="1"/>
        <v>0</v>
      </c>
      <c r="J49" s="501"/>
      <c r="K49" s="513"/>
      <c r="L49" s="505">
        <f t="shared" si="2"/>
        <v>0</v>
      </c>
      <c r="M49" s="513"/>
      <c r="N49" s="505">
        <f t="shared" si="3"/>
        <v>0</v>
      </c>
      <c r="O49" s="505">
        <f t="shared" si="4"/>
        <v>0</v>
      </c>
      <c r="P49" s="279"/>
    </row>
    <row r="50" spans="2:16" ht="12.5">
      <c r="B50" s="145" t="str">
        <f t="shared" si="0"/>
        <v/>
      </c>
      <c r="C50" s="496">
        <f>IF(D11="","-",+C49+1)</f>
        <v>2050</v>
      </c>
      <c r="D50" s="509">
        <f>IF(F49+SUM(E$17:E49)=D$10,F49,D$10-SUM(E$17:E49))</f>
        <v>19191125.774094198</v>
      </c>
      <c r="E50" s="510">
        <f t="shared" ref="E50:E71" si="12">IF(+I$14&lt;F49,I$14,D50)</f>
        <v>2152614.5365853659</v>
      </c>
      <c r="F50" s="511">
        <f t="shared" si="9"/>
        <v>17038511.237508833</v>
      </c>
      <c r="G50" s="512">
        <f t="shared" si="10"/>
        <v>4280943.1662663594</v>
      </c>
      <c r="H50" s="478">
        <f t="shared" si="11"/>
        <v>4280943.1662663594</v>
      </c>
      <c r="I50" s="501">
        <f t="shared" si="1"/>
        <v>0</v>
      </c>
      <c r="J50" s="501"/>
      <c r="K50" s="513"/>
      <c r="L50" s="505">
        <f t="shared" si="2"/>
        <v>0</v>
      </c>
      <c r="M50" s="513"/>
      <c r="N50" s="505">
        <f t="shared" si="3"/>
        <v>0</v>
      </c>
      <c r="O50" s="505">
        <f t="shared" si="4"/>
        <v>0</v>
      </c>
      <c r="P50" s="279"/>
    </row>
    <row r="51" spans="2:16" ht="12.5">
      <c r="B51" s="145" t="str">
        <f t="shared" si="0"/>
        <v/>
      </c>
      <c r="C51" s="496">
        <f>IF(D11="","-",+C50+1)</f>
        <v>2051</v>
      </c>
      <c r="D51" s="509">
        <f>IF(F50+SUM(E$17:E50)=D$10,F50,D$10-SUM(E$17:E50))</f>
        <v>17038511.237508833</v>
      </c>
      <c r="E51" s="510">
        <f t="shared" si="12"/>
        <v>2152614.5365853659</v>
      </c>
      <c r="F51" s="511">
        <f t="shared" si="9"/>
        <v>14885896.700923467</v>
      </c>
      <c r="G51" s="512">
        <f t="shared" si="10"/>
        <v>4028030.2736853575</v>
      </c>
      <c r="H51" s="478">
        <f t="shared" si="11"/>
        <v>4028030.2736853575</v>
      </c>
      <c r="I51" s="501">
        <f t="shared" si="1"/>
        <v>0</v>
      </c>
      <c r="J51" s="501"/>
      <c r="K51" s="513"/>
      <c r="L51" s="505">
        <f t="shared" si="2"/>
        <v>0</v>
      </c>
      <c r="M51" s="513"/>
      <c r="N51" s="505">
        <f t="shared" si="3"/>
        <v>0</v>
      </c>
      <c r="O51" s="505">
        <f t="shared" si="4"/>
        <v>0</v>
      </c>
      <c r="P51" s="279"/>
    </row>
    <row r="52" spans="2:16" ht="12.5">
      <c r="B52" s="145" t="str">
        <f t="shared" si="0"/>
        <v/>
      </c>
      <c r="C52" s="496">
        <f>IF(D11="","-",+C51+1)</f>
        <v>2052</v>
      </c>
      <c r="D52" s="509">
        <f>IF(F51+SUM(E$17:E51)=D$10,F51,D$10-SUM(E$17:E51))</f>
        <v>14885896.700923467</v>
      </c>
      <c r="E52" s="510">
        <f t="shared" si="12"/>
        <v>2152614.5365853659</v>
      </c>
      <c r="F52" s="511">
        <f t="shared" si="9"/>
        <v>12733282.164338101</v>
      </c>
      <c r="G52" s="512">
        <f t="shared" si="10"/>
        <v>3775117.3811043561</v>
      </c>
      <c r="H52" s="478">
        <f t="shared" si="11"/>
        <v>3775117.3811043561</v>
      </c>
      <c r="I52" s="501">
        <f t="shared" si="1"/>
        <v>0</v>
      </c>
      <c r="J52" s="501"/>
      <c r="K52" s="513"/>
      <c r="L52" s="505">
        <f t="shared" si="2"/>
        <v>0</v>
      </c>
      <c r="M52" s="513"/>
      <c r="N52" s="505">
        <f t="shared" si="3"/>
        <v>0</v>
      </c>
      <c r="O52" s="505">
        <f t="shared" si="4"/>
        <v>0</v>
      </c>
      <c r="P52" s="279"/>
    </row>
    <row r="53" spans="2:16" ht="12.5">
      <c r="B53" s="145" t="str">
        <f t="shared" si="0"/>
        <v/>
      </c>
      <c r="C53" s="496">
        <f>IF(D11="","-",+C52+1)</f>
        <v>2053</v>
      </c>
      <c r="D53" s="509">
        <f>IF(F52+SUM(E$17:E52)=D$10,F52,D$10-SUM(E$17:E52))</f>
        <v>12733282.164338101</v>
      </c>
      <c r="E53" s="510">
        <f t="shared" si="12"/>
        <v>2152614.5365853659</v>
      </c>
      <c r="F53" s="511">
        <f t="shared" si="9"/>
        <v>10580667.627752734</v>
      </c>
      <c r="G53" s="512">
        <f t="shared" si="10"/>
        <v>3522204.4885233543</v>
      </c>
      <c r="H53" s="478">
        <f t="shared" si="11"/>
        <v>3522204.4885233543</v>
      </c>
      <c r="I53" s="501">
        <f t="shared" si="1"/>
        <v>0</v>
      </c>
      <c r="J53" s="501"/>
      <c r="K53" s="513"/>
      <c r="L53" s="505">
        <f t="shared" si="2"/>
        <v>0</v>
      </c>
      <c r="M53" s="513"/>
      <c r="N53" s="505">
        <f t="shared" si="3"/>
        <v>0</v>
      </c>
      <c r="O53" s="505">
        <f t="shared" si="4"/>
        <v>0</v>
      </c>
      <c r="P53" s="279"/>
    </row>
    <row r="54" spans="2:16" ht="12.5">
      <c r="B54" s="145" t="str">
        <f t="shared" si="0"/>
        <v/>
      </c>
      <c r="C54" s="496">
        <f>IF(D11="","-",+C53+1)</f>
        <v>2054</v>
      </c>
      <c r="D54" s="509">
        <f>IF(F53+SUM(E$17:E53)=D$10,F53,D$10-SUM(E$17:E53))</f>
        <v>10580667.627752734</v>
      </c>
      <c r="E54" s="510">
        <f t="shared" si="12"/>
        <v>2152614.5365853659</v>
      </c>
      <c r="F54" s="511">
        <f t="shared" si="9"/>
        <v>8428053.091167368</v>
      </c>
      <c r="G54" s="512">
        <f t="shared" si="10"/>
        <v>3269291.5959423529</v>
      </c>
      <c r="H54" s="478">
        <f t="shared" si="11"/>
        <v>3269291.5959423529</v>
      </c>
      <c r="I54" s="501">
        <f t="shared" si="1"/>
        <v>0</v>
      </c>
      <c r="J54" s="501"/>
      <c r="K54" s="513"/>
      <c r="L54" s="505">
        <f t="shared" si="2"/>
        <v>0</v>
      </c>
      <c r="M54" s="513"/>
      <c r="N54" s="505">
        <f t="shared" si="3"/>
        <v>0</v>
      </c>
      <c r="O54" s="505">
        <f t="shared" si="4"/>
        <v>0</v>
      </c>
      <c r="P54" s="279"/>
    </row>
    <row r="55" spans="2:16" ht="12.5">
      <c r="B55" s="145" t="str">
        <f t="shared" si="0"/>
        <v/>
      </c>
      <c r="C55" s="496">
        <f>IF(D11="","-",+C54+1)</f>
        <v>2055</v>
      </c>
      <c r="D55" s="509">
        <f>IF(F54+SUM(E$17:E54)=D$10,F54,D$10-SUM(E$17:E54))</f>
        <v>8428053.091167368</v>
      </c>
      <c r="E55" s="510">
        <f t="shared" si="12"/>
        <v>2152614.5365853659</v>
      </c>
      <c r="F55" s="511">
        <f t="shared" si="9"/>
        <v>6275438.5545820016</v>
      </c>
      <c r="G55" s="512">
        <f t="shared" si="10"/>
        <v>3016378.703361351</v>
      </c>
      <c r="H55" s="478">
        <f t="shared" si="11"/>
        <v>3016378.703361351</v>
      </c>
      <c r="I55" s="501">
        <f t="shared" si="1"/>
        <v>0</v>
      </c>
      <c r="J55" s="501"/>
      <c r="K55" s="513"/>
      <c r="L55" s="505">
        <f t="shared" si="2"/>
        <v>0</v>
      </c>
      <c r="M55" s="513"/>
      <c r="N55" s="505">
        <f t="shared" si="3"/>
        <v>0</v>
      </c>
      <c r="O55" s="505">
        <f t="shared" si="4"/>
        <v>0</v>
      </c>
      <c r="P55" s="279"/>
    </row>
    <row r="56" spans="2:16" ht="12.5">
      <c r="B56" s="145" t="str">
        <f t="shared" si="0"/>
        <v/>
      </c>
      <c r="C56" s="496">
        <f>IF(D11="","-",+C55+1)</f>
        <v>2056</v>
      </c>
      <c r="D56" s="509">
        <f>IF(F55+SUM(E$17:E55)=D$10,F55,D$10-SUM(E$17:E55))</f>
        <v>6275438.5545820016</v>
      </c>
      <c r="E56" s="510">
        <f t="shared" si="12"/>
        <v>2152614.5365853659</v>
      </c>
      <c r="F56" s="511">
        <f t="shared" si="9"/>
        <v>4122824.0179966358</v>
      </c>
      <c r="G56" s="512">
        <f t="shared" si="10"/>
        <v>2763465.8107803497</v>
      </c>
      <c r="H56" s="478">
        <f t="shared" si="11"/>
        <v>2763465.8107803497</v>
      </c>
      <c r="I56" s="501">
        <f t="shared" si="1"/>
        <v>0</v>
      </c>
      <c r="J56" s="501"/>
      <c r="K56" s="513"/>
      <c r="L56" s="505">
        <f t="shared" si="2"/>
        <v>0</v>
      </c>
      <c r="M56" s="513"/>
      <c r="N56" s="505">
        <f t="shared" si="3"/>
        <v>0</v>
      </c>
      <c r="O56" s="505">
        <f t="shared" si="4"/>
        <v>0</v>
      </c>
      <c r="P56" s="279"/>
    </row>
    <row r="57" spans="2:16" ht="12.5">
      <c r="B57" s="145" t="str">
        <f t="shared" si="0"/>
        <v/>
      </c>
      <c r="C57" s="496">
        <f>IF(D11="","-",+C56+1)</f>
        <v>2057</v>
      </c>
      <c r="D57" s="509">
        <f>IF(F56+SUM(E$17:E56)=D$10,F56,D$10-SUM(E$17:E56))</f>
        <v>4122824.0179966358</v>
      </c>
      <c r="E57" s="510">
        <f t="shared" si="12"/>
        <v>2152614.5365853659</v>
      </c>
      <c r="F57" s="511">
        <f t="shared" si="9"/>
        <v>1970209.4814112699</v>
      </c>
      <c r="G57" s="512">
        <f t="shared" si="10"/>
        <v>2510552.9181993483</v>
      </c>
      <c r="H57" s="478">
        <f t="shared" si="11"/>
        <v>2510552.9181993483</v>
      </c>
      <c r="I57" s="501">
        <f t="shared" si="1"/>
        <v>0</v>
      </c>
      <c r="J57" s="501"/>
      <c r="K57" s="513"/>
      <c r="L57" s="505">
        <f t="shared" si="2"/>
        <v>0</v>
      </c>
      <c r="M57" s="513"/>
      <c r="N57" s="505">
        <f t="shared" si="3"/>
        <v>0</v>
      </c>
      <c r="O57" s="505">
        <f t="shared" si="4"/>
        <v>0</v>
      </c>
      <c r="P57" s="279"/>
    </row>
    <row r="58" spans="2:16" ht="12.5">
      <c r="B58" s="145" t="str">
        <f t="shared" si="0"/>
        <v/>
      </c>
      <c r="C58" s="496">
        <f>IF(D11="","-",+C57+1)</f>
        <v>2058</v>
      </c>
      <c r="D58" s="509">
        <f>IF(F57+SUM(E$17:E57)=D$10,F57,D$10-SUM(E$17:E57))</f>
        <v>1970209.4814112699</v>
      </c>
      <c r="E58" s="510">
        <f t="shared" si="12"/>
        <v>1970209.4814112699</v>
      </c>
      <c r="F58" s="511">
        <f t="shared" si="9"/>
        <v>0</v>
      </c>
      <c r="G58" s="512">
        <f t="shared" si="10"/>
        <v>2085950.4490730106</v>
      </c>
      <c r="H58" s="478">
        <f t="shared" si="11"/>
        <v>2085950.4490730106</v>
      </c>
      <c r="I58" s="501">
        <f t="shared" si="1"/>
        <v>0</v>
      </c>
      <c r="J58" s="501"/>
      <c r="K58" s="513"/>
      <c r="L58" s="505">
        <f t="shared" si="2"/>
        <v>0</v>
      </c>
      <c r="M58" s="513"/>
      <c r="N58" s="505">
        <f t="shared" si="3"/>
        <v>0</v>
      </c>
      <c r="O58" s="505">
        <f t="shared" si="4"/>
        <v>0</v>
      </c>
      <c r="P58" s="279"/>
    </row>
    <row r="59" spans="2:16" ht="12.5">
      <c r="B59" s="145" t="str">
        <f t="shared" si="0"/>
        <v/>
      </c>
      <c r="C59" s="496">
        <f>IF(D11="","-",+C58+1)</f>
        <v>2059</v>
      </c>
      <c r="D59" s="509">
        <f>IF(F58+SUM(E$17:E58)=D$10,F58,D$10-SUM(E$17:E58))</f>
        <v>0</v>
      </c>
      <c r="E59" s="510">
        <f t="shared" si="12"/>
        <v>0</v>
      </c>
      <c r="F59" s="511">
        <f t="shared" si="9"/>
        <v>0</v>
      </c>
      <c r="G59" s="512">
        <f t="shared" si="10"/>
        <v>0</v>
      </c>
      <c r="H59" s="478">
        <f t="shared" si="11"/>
        <v>0</v>
      </c>
      <c r="I59" s="501">
        <f t="shared" si="1"/>
        <v>0</v>
      </c>
      <c r="J59" s="501"/>
      <c r="K59" s="513"/>
      <c r="L59" s="505">
        <f t="shared" si="2"/>
        <v>0</v>
      </c>
      <c r="M59" s="513"/>
      <c r="N59" s="505">
        <f t="shared" si="3"/>
        <v>0</v>
      </c>
      <c r="O59" s="505">
        <f t="shared" si="4"/>
        <v>0</v>
      </c>
      <c r="P59" s="279"/>
    </row>
    <row r="60" spans="2:16" ht="12.5">
      <c r="B60" s="145" t="str">
        <f t="shared" si="0"/>
        <v/>
      </c>
      <c r="C60" s="496">
        <f>IF(D11="","-",+C59+1)</f>
        <v>2060</v>
      </c>
      <c r="D60" s="509">
        <f>IF(F59+SUM(E$17:E59)=D$10,F59,D$10-SUM(E$17:E59))</f>
        <v>0</v>
      </c>
      <c r="E60" s="510">
        <f t="shared" si="12"/>
        <v>0</v>
      </c>
      <c r="F60" s="511">
        <f t="shared" si="9"/>
        <v>0</v>
      </c>
      <c r="G60" s="512">
        <f t="shared" si="10"/>
        <v>0</v>
      </c>
      <c r="H60" s="478">
        <f t="shared" si="11"/>
        <v>0</v>
      </c>
      <c r="I60" s="501">
        <f t="shared" si="1"/>
        <v>0</v>
      </c>
      <c r="J60" s="501"/>
      <c r="K60" s="513"/>
      <c r="L60" s="505">
        <f t="shared" si="2"/>
        <v>0</v>
      </c>
      <c r="M60" s="513"/>
      <c r="N60" s="505">
        <f t="shared" si="3"/>
        <v>0</v>
      </c>
      <c r="O60" s="505">
        <f t="shared" si="4"/>
        <v>0</v>
      </c>
      <c r="P60" s="279"/>
    </row>
    <row r="61" spans="2:16" ht="12.5">
      <c r="B61" s="145" t="str">
        <f t="shared" si="0"/>
        <v/>
      </c>
      <c r="C61" s="496">
        <f>IF(D11="","-",+C60+1)</f>
        <v>2061</v>
      </c>
      <c r="D61" s="509">
        <f>IF(F60+SUM(E$17:E60)=D$10,F60,D$10-SUM(E$17:E60))</f>
        <v>0</v>
      </c>
      <c r="E61" s="510">
        <f t="shared" si="12"/>
        <v>0</v>
      </c>
      <c r="F61" s="511">
        <f t="shared" si="9"/>
        <v>0</v>
      </c>
      <c r="G61" s="524">
        <f t="shared" si="10"/>
        <v>0</v>
      </c>
      <c r="H61" s="478">
        <f t="shared" si="11"/>
        <v>0</v>
      </c>
      <c r="I61" s="501">
        <f t="shared" si="1"/>
        <v>0</v>
      </c>
      <c r="J61" s="501"/>
      <c r="K61" s="513"/>
      <c r="L61" s="505">
        <f t="shared" si="2"/>
        <v>0</v>
      </c>
      <c r="M61" s="513"/>
      <c r="N61" s="505">
        <f t="shared" si="3"/>
        <v>0</v>
      </c>
      <c r="O61" s="505">
        <f t="shared" si="4"/>
        <v>0</v>
      </c>
      <c r="P61" s="279"/>
    </row>
    <row r="62" spans="2:16" ht="12.5">
      <c r="B62" s="145" t="str">
        <f t="shared" si="0"/>
        <v/>
      </c>
      <c r="C62" s="496">
        <f>IF(D11="","-",+C61+1)</f>
        <v>2062</v>
      </c>
      <c r="D62" s="509">
        <f>IF(F61+SUM(E$17:E61)=D$10,F61,D$10-SUM(E$17:E61))</f>
        <v>0</v>
      </c>
      <c r="E62" s="510">
        <f t="shared" si="12"/>
        <v>0</v>
      </c>
      <c r="F62" s="511">
        <f t="shared" si="9"/>
        <v>0</v>
      </c>
      <c r="G62" s="524">
        <f t="shared" si="10"/>
        <v>0</v>
      </c>
      <c r="H62" s="478">
        <f t="shared" si="11"/>
        <v>0</v>
      </c>
      <c r="I62" s="501">
        <f t="shared" si="1"/>
        <v>0</v>
      </c>
      <c r="J62" s="501"/>
      <c r="K62" s="513"/>
      <c r="L62" s="505">
        <f t="shared" si="2"/>
        <v>0</v>
      </c>
      <c r="M62" s="513"/>
      <c r="N62" s="505">
        <f t="shared" si="3"/>
        <v>0</v>
      </c>
      <c r="O62" s="505">
        <f t="shared" si="4"/>
        <v>0</v>
      </c>
      <c r="P62" s="279"/>
    </row>
    <row r="63" spans="2:16" ht="12.5">
      <c r="B63" s="145" t="str">
        <f t="shared" si="0"/>
        <v/>
      </c>
      <c r="C63" s="496">
        <f>IF(D11="","-",+C62+1)</f>
        <v>2063</v>
      </c>
      <c r="D63" s="509">
        <f>IF(F62+SUM(E$17:E62)=D$10,F62,D$10-SUM(E$17:E62))</f>
        <v>0</v>
      </c>
      <c r="E63" s="510">
        <f t="shared" si="12"/>
        <v>0</v>
      </c>
      <c r="F63" s="511">
        <f t="shared" si="9"/>
        <v>0</v>
      </c>
      <c r="G63" s="524">
        <f t="shared" si="10"/>
        <v>0</v>
      </c>
      <c r="H63" s="478">
        <f t="shared" si="11"/>
        <v>0</v>
      </c>
      <c r="I63" s="501">
        <f t="shared" si="1"/>
        <v>0</v>
      </c>
      <c r="J63" s="501"/>
      <c r="K63" s="513"/>
      <c r="L63" s="505">
        <f t="shared" si="2"/>
        <v>0</v>
      </c>
      <c r="M63" s="513"/>
      <c r="N63" s="505">
        <f t="shared" si="3"/>
        <v>0</v>
      </c>
      <c r="O63" s="505">
        <f t="shared" si="4"/>
        <v>0</v>
      </c>
      <c r="P63" s="279"/>
    </row>
    <row r="64" spans="2:16" ht="12.5">
      <c r="B64" s="145" t="str">
        <f t="shared" si="0"/>
        <v/>
      </c>
      <c r="C64" s="496">
        <f>IF(D11="","-",+C63+1)</f>
        <v>2064</v>
      </c>
      <c r="D64" s="509">
        <f>IF(F63+SUM(E$17:E63)=D$10,F63,D$10-SUM(E$17:E63))</f>
        <v>0</v>
      </c>
      <c r="E64" s="510">
        <f t="shared" si="12"/>
        <v>0</v>
      </c>
      <c r="F64" s="511">
        <f t="shared" si="9"/>
        <v>0</v>
      </c>
      <c r="G64" s="524">
        <f t="shared" si="10"/>
        <v>0</v>
      </c>
      <c r="H64" s="478">
        <f t="shared" si="11"/>
        <v>0</v>
      </c>
      <c r="I64" s="501">
        <f t="shared" si="1"/>
        <v>0</v>
      </c>
      <c r="J64" s="501"/>
      <c r="K64" s="513"/>
      <c r="L64" s="505">
        <f t="shared" si="2"/>
        <v>0</v>
      </c>
      <c r="M64" s="513"/>
      <c r="N64" s="505">
        <f t="shared" si="3"/>
        <v>0</v>
      </c>
      <c r="O64" s="505">
        <f t="shared" si="4"/>
        <v>0</v>
      </c>
      <c r="P64" s="279"/>
    </row>
    <row r="65" spans="2:16" ht="12.5">
      <c r="B65" s="145" t="str">
        <f t="shared" si="0"/>
        <v/>
      </c>
      <c r="C65" s="496">
        <f>IF(D11="","-",+C64+1)</f>
        <v>2065</v>
      </c>
      <c r="D65" s="509">
        <f>IF(F64+SUM(E$17:E64)=D$10,F64,D$10-SUM(E$17:E64))</f>
        <v>0</v>
      </c>
      <c r="E65" s="510">
        <f t="shared" si="12"/>
        <v>0</v>
      </c>
      <c r="F65" s="511">
        <f t="shared" si="9"/>
        <v>0</v>
      </c>
      <c r="G65" s="524">
        <f t="shared" si="10"/>
        <v>0</v>
      </c>
      <c r="H65" s="478">
        <f t="shared" si="11"/>
        <v>0</v>
      </c>
      <c r="I65" s="501">
        <f t="shared" si="1"/>
        <v>0</v>
      </c>
      <c r="J65" s="501"/>
      <c r="K65" s="513"/>
      <c r="L65" s="505">
        <f t="shared" si="2"/>
        <v>0</v>
      </c>
      <c r="M65" s="513"/>
      <c r="N65" s="505">
        <f t="shared" si="3"/>
        <v>0</v>
      </c>
      <c r="O65" s="505">
        <f t="shared" si="4"/>
        <v>0</v>
      </c>
      <c r="P65" s="279"/>
    </row>
    <row r="66" spans="2:16" ht="12.5">
      <c r="B66" s="145" t="str">
        <f t="shared" si="0"/>
        <v/>
      </c>
      <c r="C66" s="496">
        <f>IF(D11="","-",+C65+1)</f>
        <v>2066</v>
      </c>
      <c r="D66" s="509">
        <f>IF(F65+SUM(E$17:E65)=D$10,F65,D$10-SUM(E$17:E65))</f>
        <v>0</v>
      </c>
      <c r="E66" s="510">
        <f t="shared" si="12"/>
        <v>0</v>
      </c>
      <c r="F66" s="511">
        <f t="shared" si="9"/>
        <v>0</v>
      </c>
      <c r="G66" s="524">
        <f t="shared" si="10"/>
        <v>0</v>
      </c>
      <c r="H66" s="478">
        <f t="shared" si="11"/>
        <v>0</v>
      </c>
      <c r="I66" s="501">
        <f t="shared" si="1"/>
        <v>0</v>
      </c>
      <c r="J66" s="501"/>
      <c r="K66" s="513"/>
      <c r="L66" s="505">
        <f t="shared" si="2"/>
        <v>0</v>
      </c>
      <c r="M66" s="513"/>
      <c r="N66" s="505">
        <f t="shared" si="3"/>
        <v>0</v>
      </c>
      <c r="O66" s="505">
        <f t="shared" si="4"/>
        <v>0</v>
      </c>
      <c r="P66" s="279"/>
    </row>
    <row r="67" spans="2:16" ht="12.5">
      <c r="B67" s="145" t="str">
        <f t="shared" si="0"/>
        <v/>
      </c>
      <c r="C67" s="496">
        <f>IF(D11="","-",+C66+1)</f>
        <v>2067</v>
      </c>
      <c r="D67" s="509">
        <f>IF(F66+SUM(E$17:E66)=D$10,F66,D$10-SUM(E$17:E66))</f>
        <v>0</v>
      </c>
      <c r="E67" s="510">
        <f t="shared" si="12"/>
        <v>0</v>
      </c>
      <c r="F67" s="511">
        <f t="shared" si="9"/>
        <v>0</v>
      </c>
      <c r="G67" s="524">
        <f t="shared" si="10"/>
        <v>0</v>
      </c>
      <c r="H67" s="478">
        <f t="shared" si="11"/>
        <v>0</v>
      </c>
      <c r="I67" s="501">
        <f t="shared" si="1"/>
        <v>0</v>
      </c>
      <c r="J67" s="501"/>
      <c r="K67" s="513"/>
      <c r="L67" s="505">
        <f t="shared" si="2"/>
        <v>0</v>
      </c>
      <c r="M67" s="513"/>
      <c r="N67" s="505">
        <f t="shared" si="3"/>
        <v>0</v>
      </c>
      <c r="O67" s="505">
        <f t="shared" si="4"/>
        <v>0</v>
      </c>
      <c r="P67" s="279"/>
    </row>
    <row r="68" spans="2:16" ht="12.5">
      <c r="B68" s="145" t="str">
        <f t="shared" si="0"/>
        <v/>
      </c>
      <c r="C68" s="496">
        <f>IF(D11="","-",+C67+1)</f>
        <v>2068</v>
      </c>
      <c r="D68" s="509">
        <f>IF(F67+SUM(E$17:E67)=D$10,F67,D$10-SUM(E$17:E67))</f>
        <v>0</v>
      </c>
      <c r="E68" s="510">
        <f t="shared" si="12"/>
        <v>0</v>
      </c>
      <c r="F68" s="511">
        <f t="shared" si="9"/>
        <v>0</v>
      </c>
      <c r="G68" s="524">
        <f t="shared" si="10"/>
        <v>0</v>
      </c>
      <c r="H68" s="478">
        <f t="shared" si="11"/>
        <v>0</v>
      </c>
      <c r="I68" s="501">
        <f t="shared" si="1"/>
        <v>0</v>
      </c>
      <c r="J68" s="501"/>
      <c r="K68" s="513"/>
      <c r="L68" s="505">
        <f t="shared" si="2"/>
        <v>0</v>
      </c>
      <c r="M68" s="513"/>
      <c r="N68" s="505">
        <f t="shared" si="3"/>
        <v>0</v>
      </c>
      <c r="O68" s="505">
        <f t="shared" si="4"/>
        <v>0</v>
      </c>
      <c r="P68" s="279"/>
    </row>
    <row r="69" spans="2:16" ht="12.5">
      <c r="B69" s="145" t="str">
        <f t="shared" si="0"/>
        <v/>
      </c>
      <c r="C69" s="496">
        <f>IF(D11="","-",+C68+1)</f>
        <v>2069</v>
      </c>
      <c r="D69" s="509">
        <f>IF(F68+SUM(E$17:E68)=D$10,F68,D$10-SUM(E$17:E68))</f>
        <v>0</v>
      </c>
      <c r="E69" s="510">
        <f t="shared" si="12"/>
        <v>0</v>
      </c>
      <c r="F69" s="511">
        <f t="shared" si="9"/>
        <v>0</v>
      </c>
      <c r="G69" s="524">
        <f t="shared" si="10"/>
        <v>0</v>
      </c>
      <c r="H69" s="478">
        <f t="shared" si="11"/>
        <v>0</v>
      </c>
      <c r="I69" s="501">
        <f t="shared" si="1"/>
        <v>0</v>
      </c>
      <c r="J69" s="501"/>
      <c r="K69" s="513"/>
      <c r="L69" s="505">
        <f t="shared" si="2"/>
        <v>0</v>
      </c>
      <c r="M69" s="513"/>
      <c r="N69" s="505">
        <f t="shared" si="3"/>
        <v>0</v>
      </c>
      <c r="O69" s="505">
        <f t="shared" si="4"/>
        <v>0</v>
      </c>
      <c r="P69" s="279"/>
    </row>
    <row r="70" spans="2:16" ht="12.5">
      <c r="B70" s="145" t="str">
        <f t="shared" si="0"/>
        <v/>
      </c>
      <c r="C70" s="496">
        <f>IF(D11="","-",+C69+1)</f>
        <v>2070</v>
      </c>
      <c r="D70" s="509">
        <f>IF(F69+SUM(E$17:E69)=D$10,F69,D$10-SUM(E$17:E69))</f>
        <v>0</v>
      </c>
      <c r="E70" s="510">
        <f t="shared" si="12"/>
        <v>0</v>
      </c>
      <c r="F70" s="511">
        <f t="shared" si="9"/>
        <v>0</v>
      </c>
      <c r="G70" s="524">
        <f t="shared" si="10"/>
        <v>0</v>
      </c>
      <c r="H70" s="478">
        <f t="shared" si="11"/>
        <v>0</v>
      </c>
      <c r="I70" s="501">
        <f t="shared" si="1"/>
        <v>0</v>
      </c>
      <c r="J70" s="501"/>
      <c r="K70" s="513"/>
      <c r="L70" s="505">
        <f t="shared" si="2"/>
        <v>0</v>
      </c>
      <c r="M70" s="513"/>
      <c r="N70" s="505">
        <f t="shared" si="3"/>
        <v>0</v>
      </c>
      <c r="O70" s="505">
        <f t="shared" si="4"/>
        <v>0</v>
      </c>
      <c r="P70" s="279"/>
    </row>
    <row r="71" spans="2:16" ht="12.5">
      <c r="B71" s="145" t="str">
        <f t="shared" si="0"/>
        <v/>
      </c>
      <c r="C71" s="496">
        <f>IF(D11="","-",+C70+1)</f>
        <v>2071</v>
      </c>
      <c r="D71" s="509">
        <f>IF(F70+SUM(E$17:E70)=D$10,F70,D$10-SUM(E$17:E70))</f>
        <v>0</v>
      </c>
      <c r="E71" s="510">
        <f t="shared" si="12"/>
        <v>0</v>
      </c>
      <c r="F71" s="511">
        <f t="shared" si="9"/>
        <v>0</v>
      </c>
      <c r="G71" s="524">
        <f t="shared" si="10"/>
        <v>0</v>
      </c>
      <c r="H71" s="478">
        <f t="shared" si="11"/>
        <v>0</v>
      </c>
      <c r="I71" s="501">
        <f t="shared" si="1"/>
        <v>0</v>
      </c>
      <c r="J71" s="501"/>
      <c r="K71" s="513"/>
      <c r="L71" s="505">
        <f t="shared" si="2"/>
        <v>0</v>
      </c>
      <c r="M71" s="513"/>
      <c r="N71" s="505">
        <f t="shared" si="3"/>
        <v>0</v>
      </c>
      <c r="O71" s="505">
        <f t="shared" si="4"/>
        <v>0</v>
      </c>
      <c r="P71" s="279"/>
    </row>
    <row r="72" spans="2:16" ht="12.5">
      <c r="C72" s="496">
        <f>IF(D12="","-",+C71+1)</f>
        <v>2072</v>
      </c>
      <c r="D72" s="509">
        <f>IF(F71+SUM(E$17:E71)=D$10,F71,D$10-SUM(E$17:E71))</f>
        <v>0</v>
      </c>
      <c r="E72" s="510">
        <f>IF(+I$14&lt;F71,I$14,D72)</f>
        <v>0</v>
      </c>
      <c r="F72" s="511">
        <f>+D72-E72</f>
        <v>0</v>
      </c>
      <c r="G72" s="524">
        <f>(D72+F72)/2*I$12+E72</f>
        <v>0</v>
      </c>
      <c r="H72" s="478">
        <f>+(D72+F72)/2*I$13+E72</f>
        <v>0</v>
      </c>
      <c r="I72" s="501">
        <f>H72-G72</f>
        <v>0</v>
      </c>
      <c r="J72" s="501"/>
      <c r="K72" s="513"/>
      <c r="L72" s="505">
        <f>IF(K72&lt;&gt;0,+G72-K72,0)</f>
        <v>0</v>
      </c>
      <c r="M72" s="513"/>
      <c r="N72" s="505">
        <f>IF(M72&lt;&gt;0,+H72-M72,0)</f>
        <v>0</v>
      </c>
      <c r="O72" s="505">
        <f>+N72-L72</f>
        <v>0</v>
      </c>
      <c r="P72" s="279"/>
    </row>
    <row r="73" spans="2:16" ht="13" thickBot="1">
      <c r="B73" s="145" t="str">
        <f>IF(D73=F71,"","IU")</f>
        <v/>
      </c>
      <c r="C73" s="525">
        <f>IF(D13="","-",+C72+1)</f>
        <v>2073</v>
      </c>
      <c r="D73" s="509">
        <f>IF(F72+SUM(E$17:E72)=D$10,F72,D$10-SUM(E$17:E72))</f>
        <v>0</v>
      </c>
      <c r="E73" s="527">
        <f>IF(+I$14&lt;F72,I$14,D73)</f>
        <v>0</v>
      </c>
      <c r="F73" s="528">
        <f>+D73-E73</f>
        <v>0</v>
      </c>
      <c r="G73" s="529">
        <f>(D73+F73)/2*I$12+E73</f>
        <v>0</v>
      </c>
      <c r="H73" s="459">
        <f>+(D73+F73)/2*I$13+E73</f>
        <v>0</v>
      </c>
      <c r="I73" s="530">
        <f>H73-G73</f>
        <v>0</v>
      </c>
      <c r="J73" s="501"/>
      <c r="K73" s="531"/>
      <c r="L73" s="532">
        <f>IF(K73&lt;&gt;0,+G73-K73,0)</f>
        <v>0</v>
      </c>
      <c r="M73" s="531"/>
      <c r="N73" s="532">
        <f>IF(M73&lt;&gt;0,+H73-M73,0)</f>
        <v>0</v>
      </c>
      <c r="O73" s="532">
        <f>+N73-L73</f>
        <v>0</v>
      </c>
      <c r="P73" s="279"/>
    </row>
    <row r="74" spans="2:16" ht="12.5">
      <c r="C74" s="350" t="s">
        <v>75</v>
      </c>
      <c r="D74" s="295"/>
      <c r="E74" s="295">
        <f>SUM(E17:E73)</f>
        <v>88257195.999999985</v>
      </c>
      <c r="F74" s="295"/>
      <c r="G74" s="295">
        <f>SUM(G17:G73)</f>
        <v>300908222.46213585</v>
      </c>
      <c r="H74" s="295">
        <f>SUM(H17:H73)</f>
        <v>300908222.46213585</v>
      </c>
      <c r="I74" s="295">
        <f>SUM(I17:I73)</f>
        <v>0</v>
      </c>
      <c r="J74" s="295"/>
      <c r="K74" s="295"/>
      <c r="L74" s="295"/>
      <c r="M74" s="295"/>
      <c r="N74" s="295"/>
      <c r="O74" s="279"/>
      <c r="P74" s="279"/>
    </row>
    <row r="75" spans="2:16" ht="12.5">
      <c r="D75" s="293"/>
      <c r="E75" s="244"/>
      <c r="F75" s="244"/>
      <c r="G75" s="244"/>
      <c r="H75" s="326"/>
      <c r="I75" s="326"/>
      <c r="J75" s="295"/>
      <c r="K75" s="326"/>
      <c r="L75" s="326"/>
      <c r="M75" s="326"/>
      <c r="N75" s="326"/>
      <c r="O75" s="244"/>
      <c r="P75" s="244"/>
    </row>
    <row r="76" spans="2:16" ht="13">
      <c r="C76" s="533" t="s">
        <v>95</v>
      </c>
      <c r="D76" s="293"/>
      <c r="E76" s="244"/>
      <c r="F76" s="244"/>
      <c r="G76" s="244"/>
      <c r="H76" s="326"/>
      <c r="I76" s="326"/>
      <c r="J76" s="295"/>
      <c r="K76" s="326"/>
      <c r="L76" s="326"/>
      <c r="M76" s="326"/>
      <c r="N76" s="326"/>
      <c r="O76" s="244"/>
      <c r="P76" s="244"/>
    </row>
    <row r="77" spans="2:16" ht="13">
      <c r="C77" s="455" t="s">
        <v>76</v>
      </c>
      <c r="D77" s="293"/>
      <c r="E77" s="244"/>
      <c r="F77" s="244"/>
      <c r="G77" s="244"/>
      <c r="H77" s="326"/>
      <c r="I77" s="326"/>
      <c r="J77" s="295"/>
      <c r="K77" s="326"/>
      <c r="L77" s="326"/>
      <c r="M77" s="326"/>
      <c r="N77" s="326"/>
      <c r="O77" s="279"/>
      <c r="P77" s="279"/>
    </row>
    <row r="78" spans="2:16" ht="13">
      <c r="C78" s="455" t="s">
        <v>77</v>
      </c>
      <c r="D78" s="350"/>
      <c r="E78" s="350"/>
      <c r="F78" s="350"/>
      <c r="G78" s="295"/>
      <c r="H78" s="295"/>
      <c r="I78" s="351"/>
      <c r="J78" s="351"/>
      <c r="K78" s="351"/>
      <c r="L78" s="351"/>
      <c r="M78" s="351"/>
      <c r="N78" s="351"/>
      <c r="O78" s="279"/>
      <c r="P78" s="279"/>
    </row>
    <row r="79" spans="2:16" ht="13">
      <c r="C79" s="455"/>
      <c r="D79" s="350"/>
      <c r="E79" s="350"/>
      <c r="F79" s="350"/>
      <c r="G79" s="295"/>
      <c r="H79" s="295"/>
      <c r="I79" s="351"/>
      <c r="J79" s="351"/>
      <c r="K79" s="351"/>
      <c r="L79" s="351"/>
      <c r="M79" s="351"/>
      <c r="N79" s="351"/>
      <c r="O79" s="279"/>
      <c r="P79" s="244"/>
    </row>
    <row r="80" spans="2:16" ht="12.5">
      <c r="B80" s="244"/>
      <c r="C80" s="249"/>
      <c r="D80" s="293"/>
      <c r="E80" s="244"/>
      <c r="F80" s="348"/>
      <c r="G80" s="244"/>
      <c r="H80" s="326"/>
      <c r="I80" s="244"/>
      <c r="J80" s="279"/>
      <c r="K80" s="244"/>
      <c r="L80" s="244"/>
      <c r="M80" s="244"/>
      <c r="N80" s="244"/>
      <c r="O80" s="244"/>
      <c r="P80" s="244"/>
    </row>
    <row r="81" spans="1:16" ht="17.5">
      <c r="B81" s="244"/>
      <c r="C81" s="536"/>
      <c r="D81" s="293"/>
      <c r="E81" s="244"/>
      <c r="F81" s="348"/>
      <c r="G81" s="244"/>
      <c r="H81" s="326"/>
      <c r="I81" s="244"/>
      <c r="J81" s="279"/>
      <c r="K81" s="244"/>
      <c r="L81" s="244"/>
      <c r="M81" s="244"/>
      <c r="N81" s="244"/>
      <c r="P81" s="537" t="s">
        <v>128</v>
      </c>
    </row>
    <row r="82" spans="1:16" ht="12.5">
      <c r="B82" s="244"/>
      <c r="C82" s="249"/>
      <c r="D82" s="293"/>
      <c r="E82" s="244"/>
      <c r="F82" s="348"/>
      <c r="G82" s="244"/>
      <c r="H82" s="326"/>
      <c r="I82" s="244"/>
      <c r="J82" s="279"/>
      <c r="K82" s="244"/>
      <c r="L82" s="244"/>
      <c r="M82" s="244"/>
      <c r="N82" s="244"/>
      <c r="O82" s="244"/>
      <c r="P82" s="244"/>
    </row>
    <row r="83" spans="1:16" ht="12.5">
      <c r="B83" s="244"/>
      <c r="C83" s="249"/>
      <c r="D83" s="293"/>
      <c r="E83" s="244"/>
      <c r="F83" s="348"/>
      <c r="G83" s="244"/>
      <c r="H83" s="326"/>
      <c r="I83" s="244"/>
      <c r="J83" s="279"/>
      <c r="K83" s="244"/>
      <c r="L83" s="244"/>
      <c r="M83" s="244"/>
      <c r="N83" s="244"/>
      <c r="O83" s="244"/>
      <c r="P83" s="244"/>
    </row>
    <row r="84" spans="1:16" ht="20">
      <c r="A84" s="438" t="s">
        <v>190</v>
      </c>
      <c r="B84" s="244"/>
      <c r="C84" s="249"/>
      <c r="D84" s="293"/>
      <c r="E84" s="244"/>
      <c r="F84" s="340"/>
      <c r="G84" s="340"/>
      <c r="H84" s="244"/>
      <c r="I84" s="326"/>
      <c r="K84" s="221"/>
      <c r="L84" s="439"/>
      <c r="M84" s="439"/>
      <c r="P84" s="439" t="str">
        <f ca="1">P1</f>
        <v>OKT Project 17 of 19</v>
      </c>
    </row>
    <row r="85" spans="1:16" ht="17.5">
      <c r="B85" s="244"/>
      <c r="C85" s="244"/>
      <c r="D85" s="293"/>
      <c r="E85" s="244"/>
      <c r="F85" s="244"/>
      <c r="G85" s="244"/>
      <c r="H85" s="244"/>
      <c r="I85" s="326"/>
      <c r="J85" s="244"/>
      <c r="K85" s="279"/>
      <c r="L85" s="244"/>
      <c r="M85" s="244"/>
      <c r="P85" s="442" t="s">
        <v>132</v>
      </c>
    </row>
    <row r="86" spans="1:16" ht="17.5" thickBot="1">
      <c r="B86" s="234" t="s">
        <v>42</v>
      </c>
      <c r="C86" s="538" t="s">
        <v>81</v>
      </c>
      <c r="D86" s="293"/>
      <c r="E86" s="244"/>
      <c r="F86" s="244"/>
      <c r="G86" s="244"/>
      <c r="H86" s="244"/>
      <c r="I86" s="326"/>
      <c r="J86" s="326"/>
      <c r="K86" s="295"/>
      <c r="L86" s="326"/>
      <c r="M86" s="326"/>
      <c r="N86" s="326"/>
      <c r="O86" s="295"/>
      <c r="P86" s="244"/>
    </row>
    <row r="87" spans="1:16" ht="16" thickBot="1">
      <c r="C87" s="305"/>
      <c r="D87" s="293"/>
      <c r="E87" s="244"/>
      <c r="F87" s="244"/>
      <c r="G87" s="244"/>
      <c r="H87" s="244"/>
      <c r="I87" s="326"/>
      <c r="J87" s="326"/>
      <c r="K87" s="295"/>
      <c r="L87" s="539">
        <f>+J93</f>
        <v>2019</v>
      </c>
      <c r="M87" s="540" t="s">
        <v>9</v>
      </c>
      <c r="N87" s="541" t="s">
        <v>134</v>
      </c>
      <c r="O87" s="542" t="s">
        <v>11</v>
      </c>
      <c r="P87" s="244"/>
    </row>
    <row r="88" spans="1:16" ht="15.5">
      <c r="C88" s="233" t="s">
        <v>44</v>
      </c>
      <c r="D88" s="293"/>
      <c r="E88" s="244"/>
      <c r="F88" s="244"/>
      <c r="G88" s="244"/>
      <c r="H88" s="445"/>
      <c r="I88" s="244" t="s">
        <v>45</v>
      </c>
      <c r="J88" s="244"/>
      <c r="K88" s="543"/>
      <c r="L88" s="544" t="s">
        <v>253</v>
      </c>
      <c r="M88" s="545">
        <f>IF(J93&lt;D11,0,VLOOKUP(J93,C17:O73,9))</f>
        <v>10725952.439931182</v>
      </c>
      <c r="N88" s="545">
        <f>IF(J93&lt;D11,0,VLOOKUP(J93,C17:O73,11))</f>
        <v>10725952.439931182</v>
      </c>
      <c r="O88" s="546">
        <f>+N88-M88</f>
        <v>0</v>
      </c>
      <c r="P88" s="244"/>
    </row>
    <row r="89" spans="1:16" ht="15.5">
      <c r="C89" s="236"/>
      <c r="D89" s="293"/>
      <c r="E89" s="244"/>
      <c r="F89" s="244"/>
      <c r="G89" s="244"/>
      <c r="H89" s="244"/>
      <c r="I89" s="450"/>
      <c r="J89" s="450"/>
      <c r="K89" s="547"/>
      <c r="L89" s="548" t="s">
        <v>254</v>
      </c>
      <c r="M89" s="549">
        <f>IF(J93&lt;D11,0,VLOOKUP(J93,C100:P155,6))</f>
        <v>11706401.041760594</v>
      </c>
      <c r="N89" s="549">
        <f>IF(J93&lt;D11,0,VLOOKUP(J93,C100:P155,7))</f>
        <v>11706401.041760594</v>
      </c>
      <c r="O89" s="550">
        <f>+N89-M89</f>
        <v>0</v>
      </c>
      <c r="P89" s="244"/>
    </row>
    <row r="90" spans="1:16" ht="13.5" thickBot="1">
      <c r="C90" s="455" t="s">
        <v>82</v>
      </c>
      <c r="D90" s="551" t="str">
        <f>+D7</f>
        <v>Chisholm - Gracemont 345 kv line and station</v>
      </c>
      <c r="E90" s="244"/>
      <c r="F90" s="244"/>
      <c r="G90" s="244"/>
      <c r="H90" s="244"/>
      <c r="I90" s="326"/>
      <c r="J90" s="326"/>
      <c r="K90" s="552"/>
      <c r="L90" s="553" t="s">
        <v>135</v>
      </c>
      <c r="M90" s="554">
        <f>+M89-M88</f>
        <v>980448.60182941146</v>
      </c>
      <c r="N90" s="554">
        <f>+N89-N88</f>
        <v>980448.60182941146</v>
      </c>
      <c r="O90" s="555">
        <f>+O89-O88</f>
        <v>0</v>
      </c>
      <c r="P90" s="244"/>
    </row>
    <row r="91" spans="1:16" ht="13.5" thickBot="1">
      <c r="C91" s="533"/>
      <c r="D91" s="556" t="str">
        <f>IF(D8="","",D8)</f>
        <v/>
      </c>
      <c r="E91" s="348"/>
      <c r="F91" s="348"/>
      <c r="G91" s="348"/>
      <c r="H91" s="462"/>
      <c r="I91" s="326"/>
      <c r="J91" s="326"/>
      <c r="K91" s="295"/>
      <c r="L91" s="326"/>
      <c r="M91" s="326"/>
      <c r="N91" s="326"/>
      <c r="O91" s="295"/>
      <c r="P91" s="244"/>
    </row>
    <row r="92" spans="1:16" ht="13.5" thickBot="1">
      <c r="A92" s="152"/>
      <c r="C92" s="557" t="s">
        <v>83</v>
      </c>
      <c r="D92" s="558" t="str">
        <f>+D9</f>
        <v>TP 2011150</v>
      </c>
      <c r="E92" s="559"/>
      <c r="F92" s="559"/>
      <c r="G92" s="559"/>
      <c r="H92" s="559"/>
      <c r="I92" s="559"/>
      <c r="J92" s="559"/>
      <c r="K92" s="561"/>
      <c r="P92" s="469"/>
    </row>
    <row r="93" spans="1:16" ht="13">
      <c r="C93" s="473" t="s">
        <v>49</v>
      </c>
      <c r="D93" s="471">
        <v>87569395</v>
      </c>
      <c r="E93" s="249" t="s">
        <v>84</v>
      </c>
      <c r="H93" s="409"/>
      <c r="I93" s="409"/>
      <c r="J93" s="472">
        <f>+'OKT.WS.G.BPU.ATRR.True-up'!M16</f>
        <v>2019</v>
      </c>
      <c r="K93" s="468"/>
      <c r="L93" s="295" t="s">
        <v>85</v>
      </c>
      <c r="P93" s="279"/>
    </row>
    <row r="94" spans="1:16" ht="12.5">
      <c r="C94" s="473" t="s">
        <v>52</v>
      </c>
      <c r="D94" s="474">
        <f>IF(D11=I10,"",D11)</f>
        <v>2017</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row>
    <row r="95" spans="1:16" ht="12.5">
      <c r="C95" s="473" t="s">
        <v>54</v>
      </c>
      <c r="D95" s="471">
        <f>IF(D11=I10,"",D12)</f>
        <v>12</v>
      </c>
      <c r="E95" s="473" t="s">
        <v>55</v>
      </c>
      <c r="F95" s="409"/>
      <c r="G95" s="409"/>
      <c r="J95" s="477">
        <f>'OKT.WS.G.BPU.ATRR.True-up'!$F$81</f>
        <v>0.10800922592579221</v>
      </c>
      <c r="K95" s="414"/>
      <c r="L95" s="145" t="s">
        <v>86</v>
      </c>
      <c r="P95" s="279"/>
    </row>
    <row r="96" spans="1:16" ht="12.5">
      <c r="C96" s="473" t="s">
        <v>57</v>
      </c>
      <c r="D96" s="475">
        <f>'OKT.WS.G.BPU.ATRR.True-up'!F$93</f>
        <v>33</v>
      </c>
      <c r="E96" s="473" t="s">
        <v>58</v>
      </c>
      <c r="F96" s="409"/>
      <c r="G96" s="409"/>
      <c r="J96" s="477">
        <f>IF(H88="",J95,'OKT.WS.G.BPU.ATRR.True-up'!$F$80)</f>
        <v>0.10800922592579221</v>
      </c>
      <c r="K96" s="292"/>
      <c r="L96" s="295" t="s">
        <v>59</v>
      </c>
      <c r="M96" s="292"/>
      <c r="N96" s="292"/>
      <c r="O96" s="292"/>
      <c r="P96" s="279"/>
    </row>
    <row r="97" spans="1:16" ht="13" thickBot="1">
      <c r="C97" s="473" t="s">
        <v>60</v>
      </c>
      <c r="D97" s="641" t="str">
        <f>+D14</f>
        <v>No</v>
      </c>
      <c r="E97" s="564" t="s">
        <v>62</v>
      </c>
      <c r="F97" s="565"/>
      <c r="G97" s="565"/>
      <c r="H97" s="566"/>
      <c r="I97" s="566"/>
      <c r="J97" s="459">
        <f>IF(D93=0,0,D93/D96)</f>
        <v>2653618.0303030303</v>
      </c>
      <c r="K97" s="295"/>
      <c r="L97" s="295"/>
      <c r="M97" s="295"/>
      <c r="N97" s="295"/>
      <c r="O97" s="295"/>
      <c r="P97" s="279"/>
    </row>
    <row r="98" spans="1:16"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row>
    <row r="99" spans="1:16"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row>
    <row r="100" spans="1:16" ht="12.5">
      <c r="B100" s="145" t="str">
        <f t="shared" ref="B100:B155" si="13">IF(D100=F99,"","IU")</f>
        <v>IU</v>
      </c>
      <c r="C100" s="496">
        <f>IF(D94= "","-",D94)</f>
        <v>2017</v>
      </c>
      <c r="D100" s="497">
        <v>0</v>
      </c>
      <c r="E100" s="499">
        <v>0</v>
      </c>
      <c r="F100" s="506">
        <v>87396515</v>
      </c>
      <c r="G100" s="506">
        <v>43698257.5</v>
      </c>
      <c r="H100" s="499">
        <v>5127372.8083007364</v>
      </c>
      <c r="I100" s="500">
        <v>5127372.8083007364</v>
      </c>
      <c r="J100" s="505">
        <f t="shared" ref="J100:J131" si="14">+I100-H100</f>
        <v>0</v>
      </c>
      <c r="K100" s="505"/>
      <c r="L100" s="507">
        <f>+H100</f>
        <v>5127372.8083007364</v>
      </c>
      <c r="M100" s="505">
        <f t="shared" ref="M100:M131" si="15">IF(L100&lt;&gt;0,+H100-L100,0)</f>
        <v>0</v>
      </c>
      <c r="N100" s="507">
        <f>+I100</f>
        <v>5127372.8083007364</v>
      </c>
      <c r="O100" s="587">
        <f t="shared" ref="O100:O131" si="16">IF(N100&lt;&gt;0,+I100-N100,0)</f>
        <v>0</v>
      </c>
      <c r="P100" s="505">
        <f t="shared" ref="P100:P131" si="17">+O100-M100</f>
        <v>0</v>
      </c>
    </row>
    <row r="101" spans="1:16" ht="12.5">
      <c r="B101" s="145" t="str">
        <f t="shared" si="13"/>
        <v/>
      </c>
      <c r="C101" s="496">
        <f>IF(D94="","-",+C100+1)</f>
        <v>2018</v>
      </c>
      <c r="D101" s="497">
        <v>87396515</v>
      </c>
      <c r="E101" s="499">
        <v>2427680.972222222</v>
      </c>
      <c r="F101" s="506">
        <v>84968834.027777776</v>
      </c>
      <c r="G101" s="506">
        <v>86182674.513888896</v>
      </c>
      <c r="H101" s="499">
        <v>11525335.163817437</v>
      </c>
      <c r="I101" s="500">
        <v>11525335.163817437</v>
      </c>
      <c r="J101" s="505">
        <f t="shared" si="14"/>
        <v>0</v>
      </c>
      <c r="K101" s="505"/>
      <c r="L101" s="507">
        <f>H101</f>
        <v>11525335.163817437</v>
      </c>
      <c r="M101" s="505">
        <f>IF(L101&lt;&gt;0,+H101-L101,0)</f>
        <v>0</v>
      </c>
      <c r="N101" s="507">
        <f>I101</f>
        <v>11525335.163817437</v>
      </c>
      <c r="O101" s="505">
        <f>IF(N101&lt;&gt;0,+I101-N101,0)</f>
        <v>0</v>
      </c>
      <c r="P101" s="505">
        <f>+O101-M101</f>
        <v>0</v>
      </c>
    </row>
    <row r="102" spans="1:16" ht="12.5">
      <c r="B102" s="145" t="str">
        <f t="shared" si="13"/>
        <v>IU</v>
      </c>
      <c r="C102" s="496">
        <f>IF(D94="","-",+C101+1)</f>
        <v>2019</v>
      </c>
      <c r="D102" s="350">
        <f>IF(F101+SUM(E$100:E101)=D$93,F101,D$93-SUM(E$100:E101))</f>
        <v>85141714.027777776</v>
      </c>
      <c r="E102" s="510">
        <f t="shared" ref="E102:E132" si="18">IF(+J$97&lt;F101,J$97,D102)</f>
        <v>2653618.0303030303</v>
      </c>
      <c r="F102" s="511">
        <f t="shared" ref="F102:F131" si="19">+D102-E102</f>
        <v>82488095.997474745</v>
      </c>
      <c r="G102" s="511">
        <f t="shared" ref="G102:G131" si="20">+(F102+D102)/2</f>
        <v>83814905.012626261</v>
      </c>
      <c r="H102" s="628">
        <f t="shared" ref="H102:H155" si="21">+J$95*G102+E102</f>
        <v>11706401.041760594</v>
      </c>
      <c r="I102" s="629">
        <f t="shared" ref="I102:I155" si="22">+J$96*G102+E102</f>
        <v>11706401.041760594</v>
      </c>
      <c r="J102" s="505">
        <f t="shared" si="14"/>
        <v>0</v>
      </c>
      <c r="K102" s="505"/>
      <c r="L102" s="513"/>
      <c r="M102" s="505">
        <f t="shared" si="15"/>
        <v>0</v>
      </c>
      <c r="N102" s="513"/>
      <c r="O102" s="505">
        <f t="shared" si="16"/>
        <v>0</v>
      </c>
      <c r="P102" s="505">
        <f t="shared" si="17"/>
        <v>0</v>
      </c>
    </row>
    <row r="103" spans="1:16" ht="12.5">
      <c r="B103" s="145" t="str">
        <f t="shared" si="13"/>
        <v/>
      </c>
      <c r="C103" s="496">
        <f>IF(D94="","-",+C102+1)</f>
        <v>2020</v>
      </c>
      <c r="D103" s="350">
        <f>IF(F102+SUM(E$100:E102)=D$93,F102,D$93-SUM(E$100:E102))</f>
        <v>82488095.997474745</v>
      </c>
      <c r="E103" s="510">
        <f t="shared" si="18"/>
        <v>2653618.0303030303</v>
      </c>
      <c r="F103" s="511">
        <f t="shared" si="19"/>
        <v>79834477.967171714</v>
      </c>
      <c r="G103" s="511">
        <f t="shared" si="20"/>
        <v>81161286.982323229</v>
      </c>
      <c r="H103" s="628">
        <f t="shared" si="21"/>
        <v>11419785.812404837</v>
      </c>
      <c r="I103" s="629">
        <f t="shared" si="22"/>
        <v>11419785.812404837</v>
      </c>
      <c r="J103" s="505">
        <f t="shared" si="14"/>
        <v>0</v>
      </c>
      <c r="K103" s="505"/>
      <c r="L103" s="513"/>
      <c r="M103" s="505">
        <f t="shared" si="15"/>
        <v>0</v>
      </c>
      <c r="N103" s="513"/>
      <c r="O103" s="505">
        <f t="shared" si="16"/>
        <v>0</v>
      </c>
      <c r="P103" s="505">
        <f t="shared" si="17"/>
        <v>0</v>
      </c>
    </row>
    <row r="104" spans="1:16" ht="12.5">
      <c r="B104" s="145" t="str">
        <f t="shared" si="13"/>
        <v/>
      </c>
      <c r="C104" s="496">
        <f>IF(D94="","-",+C103+1)</f>
        <v>2021</v>
      </c>
      <c r="D104" s="350">
        <f>IF(F103+SUM(E$100:E103)=D$93,F103,D$93-SUM(E$100:E103))</f>
        <v>79834477.967171714</v>
      </c>
      <c r="E104" s="510">
        <f t="shared" si="18"/>
        <v>2653618.0303030303</v>
      </c>
      <c r="F104" s="511">
        <f t="shared" si="19"/>
        <v>77180859.936868683</v>
      </c>
      <c r="G104" s="511">
        <f t="shared" si="20"/>
        <v>78507668.952020198</v>
      </c>
      <c r="H104" s="628">
        <f t="shared" si="21"/>
        <v>11133170.583049081</v>
      </c>
      <c r="I104" s="629">
        <f t="shared" si="22"/>
        <v>11133170.583049081</v>
      </c>
      <c r="J104" s="505">
        <f t="shared" si="14"/>
        <v>0</v>
      </c>
      <c r="K104" s="505"/>
      <c r="L104" s="513"/>
      <c r="M104" s="505">
        <f t="shared" si="15"/>
        <v>0</v>
      </c>
      <c r="N104" s="513"/>
      <c r="O104" s="505">
        <f t="shared" si="16"/>
        <v>0</v>
      </c>
      <c r="P104" s="505">
        <f t="shared" si="17"/>
        <v>0</v>
      </c>
    </row>
    <row r="105" spans="1:16" ht="12.5">
      <c r="B105" s="145" t="str">
        <f t="shared" si="13"/>
        <v/>
      </c>
      <c r="C105" s="496">
        <f>IF(D94="","-",+C104+1)</f>
        <v>2022</v>
      </c>
      <c r="D105" s="350">
        <f>IF(F104+SUM(E$100:E104)=D$93,F104,D$93-SUM(E$100:E104))</f>
        <v>77180859.936868683</v>
      </c>
      <c r="E105" s="510">
        <f t="shared" si="18"/>
        <v>2653618.0303030303</v>
      </c>
      <c r="F105" s="511">
        <f t="shared" si="19"/>
        <v>74527241.906565651</v>
      </c>
      <c r="G105" s="511">
        <f t="shared" si="20"/>
        <v>75854050.921717167</v>
      </c>
      <c r="H105" s="628">
        <f t="shared" si="21"/>
        <v>10846555.353693325</v>
      </c>
      <c r="I105" s="629">
        <f t="shared" si="22"/>
        <v>10846555.353693325</v>
      </c>
      <c r="J105" s="505">
        <f t="shared" si="14"/>
        <v>0</v>
      </c>
      <c r="K105" s="505"/>
      <c r="L105" s="513"/>
      <c r="M105" s="505">
        <f t="shared" si="15"/>
        <v>0</v>
      </c>
      <c r="N105" s="513"/>
      <c r="O105" s="505">
        <f t="shared" si="16"/>
        <v>0</v>
      </c>
      <c r="P105" s="505">
        <f t="shared" si="17"/>
        <v>0</v>
      </c>
    </row>
    <row r="106" spans="1:16" ht="12.5">
      <c r="B106" s="145" t="str">
        <f t="shared" si="13"/>
        <v/>
      </c>
      <c r="C106" s="496">
        <f>IF(D94="","-",+C105+1)</f>
        <v>2023</v>
      </c>
      <c r="D106" s="350">
        <f>IF(F105+SUM(E$100:E105)=D$93,F105,D$93-SUM(E$100:E105))</f>
        <v>74527241.906565651</v>
      </c>
      <c r="E106" s="510">
        <f t="shared" si="18"/>
        <v>2653618.0303030303</v>
      </c>
      <c r="F106" s="511">
        <f t="shared" si="19"/>
        <v>71873623.87626262</v>
      </c>
      <c r="G106" s="511">
        <f t="shared" si="20"/>
        <v>73200432.891414136</v>
      </c>
      <c r="H106" s="628">
        <f t="shared" si="21"/>
        <v>10559940.124337571</v>
      </c>
      <c r="I106" s="629">
        <f t="shared" si="22"/>
        <v>10559940.124337571</v>
      </c>
      <c r="J106" s="505">
        <f t="shared" si="14"/>
        <v>0</v>
      </c>
      <c r="K106" s="505"/>
      <c r="L106" s="513"/>
      <c r="M106" s="505">
        <f t="shared" si="15"/>
        <v>0</v>
      </c>
      <c r="N106" s="513"/>
      <c r="O106" s="505">
        <f t="shared" si="16"/>
        <v>0</v>
      </c>
      <c r="P106" s="505">
        <f t="shared" si="17"/>
        <v>0</v>
      </c>
    </row>
    <row r="107" spans="1:16" ht="12.5">
      <c r="B107" s="145" t="str">
        <f t="shared" si="13"/>
        <v/>
      </c>
      <c r="C107" s="496">
        <f>IF(D94="","-",+C106+1)</f>
        <v>2024</v>
      </c>
      <c r="D107" s="350">
        <f>IF(F106+SUM(E$100:E106)=D$93,F106,D$93-SUM(E$100:E106))</f>
        <v>71873623.87626262</v>
      </c>
      <c r="E107" s="510">
        <f t="shared" si="18"/>
        <v>2653618.0303030303</v>
      </c>
      <c r="F107" s="511">
        <f t="shared" si="19"/>
        <v>69220005.845959589</v>
      </c>
      <c r="G107" s="511">
        <f t="shared" si="20"/>
        <v>70546814.861111104</v>
      </c>
      <c r="H107" s="628">
        <f t="shared" si="21"/>
        <v>10273324.894981815</v>
      </c>
      <c r="I107" s="629">
        <f t="shared" si="22"/>
        <v>10273324.894981815</v>
      </c>
      <c r="J107" s="505">
        <f t="shared" si="14"/>
        <v>0</v>
      </c>
      <c r="K107" s="505"/>
      <c r="L107" s="513"/>
      <c r="M107" s="505">
        <f t="shared" si="15"/>
        <v>0</v>
      </c>
      <c r="N107" s="513"/>
      <c r="O107" s="505">
        <f t="shared" si="16"/>
        <v>0</v>
      </c>
      <c r="P107" s="505">
        <f t="shared" si="17"/>
        <v>0</v>
      </c>
    </row>
    <row r="108" spans="1:16" ht="12.5">
      <c r="B108" s="145" t="str">
        <f t="shared" si="13"/>
        <v/>
      </c>
      <c r="C108" s="496">
        <f>IF(D94="","-",+C107+1)</f>
        <v>2025</v>
      </c>
      <c r="D108" s="350">
        <f>IF(F107+SUM(E$100:E107)=D$93,F107,D$93-SUM(E$100:E107))</f>
        <v>69220005.845959589</v>
      </c>
      <c r="E108" s="510">
        <f t="shared" si="18"/>
        <v>2653618.0303030303</v>
      </c>
      <c r="F108" s="511">
        <f t="shared" si="19"/>
        <v>66566387.815656558</v>
      </c>
      <c r="G108" s="511">
        <f t="shared" si="20"/>
        <v>67893196.830808073</v>
      </c>
      <c r="H108" s="628">
        <f t="shared" si="21"/>
        <v>9986709.6656260602</v>
      </c>
      <c r="I108" s="629">
        <f t="shared" si="22"/>
        <v>9986709.6656260602</v>
      </c>
      <c r="J108" s="505">
        <f t="shared" si="14"/>
        <v>0</v>
      </c>
      <c r="K108" s="505"/>
      <c r="L108" s="513"/>
      <c r="M108" s="505">
        <f t="shared" si="15"/>
        <v>0</v>
      </c>
      <c r="N108" s="513"/>
      <c r="O108" s="505">
        <f t="shared" si="16"/>
        <v>0</v>
      </c>
      <c r="P108" s="505">
        <f t="shared" si="17"/>
        <v>0</v>
      </c>
    </row>
    <row r="109" spans="1:16" ht="12.5">
      <c r="B109" s="145" t="str">
        <f t="shared" si="13"/>
        <v/>
      </c>
      <c r="C109" s="496">
        <f>IF(D94="","-",+C108+1)</f>
        <v>2026</v>
      </c>
      <c r="D109" s="350">
        <f>IF(F108+SUM(E$100:E108)=D$93,F108,D$93-SUM(E$100:E108))</f>
        <v>66566387.815656558</v>
      </c>
      <c r="E109" s="510">
        <f t="shared" si="18"/>
        <v>2653618.0303030303</v>
      </c>
      <c r="F109" s="511">
        <f t="shared" si="19"/>
        <v>63912769.785353526</v>
      </c>
      <c r="G109" s="511">
        <f t="shared" si="20"/>
        <v>65239578.800505042</v>
      </c>
      <c r="H109" s="628">
        <f t="shared" si="21"/>
        <v>9700094.436270304</v>
      </c>
      <c r="I109" s="629">
        <f t="shared" si="22"/>
        <v>9700094.436270304</v>
      </c>
      <c r="J109" s="505">
        <f t="shared" si="14"/>
        <v>0</v>
      </c>
      <c r="K109" s="505"/>
      <c r="L109" s="513"/>
      <c r="M109" s="505">
        <f t="shared" si="15"/>
        <v>0</v>
      </c>
      <c r="N109" s="513"/>
      <c r="O109" s="505">
        <f t="shared" si="16"/>
        <v>0</v>
      </c>
      <c r="P109" s="505">
        <f t="shared" si="17"/>
        <v>0</v>
      </c>
    </row>
    <row r="110" spans="1:16" ht="12.5">
      <c r="B110" s="145" t="str">
        <f t="shared" si="13"/>
        <v/>
      </c>
      <c r="C110" s="496">
        <f>IF(D94="","-",+C109+1)</f>
        <v>2027</v>
      </c>
      <c r="D110" s="350">
        <f>IF(F109+SUM(E$100:E109)=D$93,F109,D$93-SUM(E$100:E109))</f>
        <v>63912769.785353526</v>
      </c>
      <c r="E110" s="510">
        <f t="shared" si="18"/>
        <v>2653618.0303030303</v>
      </c>
      <c r="F110" s="511">
        <f t="shared" si="19"/>
        <v>61259151.755050495</v>
      </c>
      <c r="G110" s="511">
        <f t="shared" si="20"/>
        <v>62585960.770202011</v>
      </c>
      <c r="H110" s="628">
        <f t="shared" si="21"/>
        <v>9413479.2069145478</v>
      </c>
      <c r="I110" s="629">
        <f t="shared" si="22"/>
        <v>9413479.2069145478</v>
      </c>
      <c r="J110" s="505">
        <f t="shared" si="14"/>
        <v>0</v>
      </c>
      <c r="K110" s="505"/>
      <c r="L110" s="513"/>
      <c r="M110" s="505">
        <f t="shared" si="15"/>
        <v>0</v>
      </c>
      <c r="N110" s="513"/>
      <c r="O110" s="505">
        <f t="shared" si="16"/>
        <v>0</v>
      </c>
      <c r="P110" s="505">
        <f t="shared" si="17"/>
        <v>0</v>
      </c>
    </row>
    <row r="111" spans="1:16" ht="12.5">
      <c r="B111" s="145" t="str">
        <f t="shared" si="13"/>
        <v/>
      </c>
      <c r="C111" s="496">
        <f>IF(D94="","-",+C110+1)</f>
        <v>2028</v>
      </c>
      <c r="D111" s="350">
        <f>IF(F110+SUM(E$100:E110)=D$93,F110,D$93-SUM(E$100:E110))</f>
        <v>61259151.755050495</v>
      </c>
      <c r="E111" s="510">
        <f t="shared" si="18"/>
        <v>2653618.0303030303</v>
      </c>
      <c r="F111" s="511">
        <f t="shared" si="19"/>
        <v>58605533.724747464</v>
      </c>
      <c r="G111" s="511">
        <f t="shared" si="20"/>
        <v>59932342.73989898</v>
      </c>
      <c r="H111" s="628">
        <f t="shared" si="21"/>
        <v>9126863.9775587916</v>
      </c>
      <c r="I111" s="629">
        <f t="shared" si="22"/>
        <v>9126863.9775587916</v>
      </c>
      <c r="J111" s="505">
        <f t="shared" si="14"/>
        <v>0</v>
      </c>
      <c r="K111" s="505"/>
      <c r="L111" s="513"/>
      <c r="M111" s="505">
        <f t="shared" si="15"/>
        <v>0</v>
      </c>
      <c r="N111" s="513"/>
      <c r="O111" s="505">
        <f t="shared" si="16"/>
        <v>0</v>
      </c>
      <c r="P111" s="505">
        <f t="shared" si="17"/>
        <v>0</v>
      </c>
    </row>
    <row r="112" spans="1:16" ht="12.5">
      <c r="B112" s="145" t="str">
        <f t="shared" si="13"/>
        <v/>
      </c>
      <c r="C112" s="496">
        <f>IF(D94="","-",+C111+1)</f>
        <v>2029</v>
      </c>
      <c r="D112" s="350">
        <f>IF(F111+SUM(E$100:E111)=D$93,F111,D$93-SUM(E$100:E111))</f>
        <v>58605533.724747464</v>
      </c>
      <c r="E112" s="510">
        <f t="shared" si="18"/>
        <v>2653618.0303030303</v>
      </c>
      <c r="F112" s="511">
        <f t="shared" si="19"/>
        <v>55951915.694444433</v>
      </c>
      <c r="G112" s="511">
        <f t="shared" si="20"/>
        <v>57278724.709595948</v>
      </c>
      <c r="H112" s="628">
        <f t="shared" si="21"/>
        <v>8840248.7482030354</v>
      </c>
      <c r="I112" s="629">
        <f t="shared" si="22"/>
        <v>8840248.7482030354</v>
      </c>
      <c r="J112" s="505">
        <f t="shared" si="14"/>
        <v>0</v>
      </c>
      <c r="K112" s="505"/>
      <c r="L112" s="513"/>
      <c r="M112" s="505">
        <f t="shared" si="15"/>
        <v>0</v>
      </c>
      <c r="N112" s="513"/>
      <c r="O112" s="505">
        <f t="shared" si="16"/>
        <v>0</v>
      </c>
      <c r="P112" s="505">
        <f t="shared" si="17"/>
        <v>0</v>
      </c>
    </row>
    <row r="113" spans="2:16" ht="12.5">
      <c r="B113" s="145" t="str">
        <f t="shared" si="13"/>
        <v/>
      </c>
      <c r="C113" s="496">
        <f>IF(D94="","-",+C112+1)</f>
        <v>2030</v>
      </c>
      <c r="D113" s="350">
        <f>IF(F112+SUM(E$100:E112)=D$93,F112,D$93-SUM(E$100:E112))</f>
        <v>55951915.694444433</v>
      </c>
      <c r="E113" s="510">
        <f t="shared" si="18"/>
        <v>2653618.0303030303</v>
      </c>
      <c r="F113" s="511">
        <f t="shared" si="19"/>
        <v>53298297.664141402</v>
      </c>
      <c r="G113" s="511">
        <f t="shared" si="20"/>
        <v>54625106.679292917</v>
      </c>
      <c r="H113" s="628">
        <f t="shared" si="21"/>
        <v>8553633.5188472793</v>
      </c>
      <c r="I113" s="629">
        <f t="shared" si="22"/>
        <v>8553633.5188472793</v>
      </c>
      <c r="J113" s="505">
        <f t="shared" si="14"/>
        <v>0</v>
      </c>
      <c r="K113" s="505"/>
      <c r="L113" s="513"/>
      <c r="M113" s="505">
        <f t="shared" si="15"/>
        <v>0</v>
      </c>
      <c r="N113" s="513"/>
      <c r="O113" s="505">
        <f t="shared" si="16"/>
        <v>0</v>
      </c>
      <c r="P113" s="505">
        <f t="shared" si="17"/>
        <v>0</v>
      </c>
    </row>
    <row r="114" spans="2:16" ht="12.5">
      <c r="B114" s="145" t="str">
        <f t="shared" si="13"/>
        <v/>
      </c>
      <c r="C114" s="496">
        <f>IF(D94="","-",+C113+1)</f>
        <v>2031</v>
      </c>
      <c r="D114" s="350">
        <f>IF(F113+SUM(E$100:E113)=D$93,F113,D$93-SUM(E$100:E113))</f>
        <v>53298297.664141402</v>
      </c>
      <c r="E114" s="510">
        <f t="shared" si="18"/>
        <v>2653618.0303030303</v>
      </c>
      <c r="F114" s="511">
        <f t="shared" si="19"/>
        <v>50644679.63383837</v>
      </c>
      <c r="G114" s="511">
        <f t="shared" si="20"/>
        <v>51971488.648989886</v>
      </c>
      <c r="H114" s="628">
        <f t="shared" si="21"/>
        <v>8267018.289491524</v>
      </c>
      <c r="I114" s="629">
        <f t="shared" si="22"/>
        <v>8267018.289491524</v>
      </c>
      <c r="J114" s="505">
        <f t="shared" si="14"/>
        <v>0</v>
      </c>
      <c r="K114" s="505"/>
      <c r="L114" s="513"/>
      <c r="M114" s="505">
        <f t="shared" si="15"/>
        <v>0</v>
      </c>
      <c r="N114" s="513"/>
      <c r="O114" s="505">
        <f t="shared" si="16"/>
        <v>0</v>
      </c>
      <c r="P114" s="505">
        <f t="shared" si="17"/>
        <v>0</v>
      </c>
    </row>
    <row r="115" spans="2:16" ht="12.5">
      <c r="B115" s="145" t="str">
        <f t="shared" si="13"/>
        <v/>
      </c>
      <c r="C115" s="496">
        <f>IF(D94="","-",+C114+1)</f>
        <v>2032</v>
      </c>
      <c r="D115" s="350">
        <f>IF(F114+SUM(E$100:E114)=D$93,F114,D$93-SUM(E$100:E114))</f>
        <v>50644679.63383837</v>
      </c>
      <c r="E115" s="510">
        <f t="shared" si="18"/>
        <v>2653618.0303030303</v>
      </c>
      <c r="F115" s="511">
        <f t="shared" si="19"/>
        <v>47991061.603535339</v>
      </c>
      <c r="G115" s="511">
        <f t="shared" si="20"/>
        <v>49317870.618686855</v>
      </c>
      <c r="H115" s="628">
        <f t="shared" si="21"/>
        <v>7980403.0601357687</v>
      </c>
      <c r="I115" s="629">
        <f t="shared" si="22"/>
        <v>7980403.0601357687</v>
      </c>
      <c r="J115" s="505">
        <f t="shared" si="14"/>
        <v>0</v>
      </c>
      <c r="K115" s="505"/>
      <c r="L115" s="513"/>
      <c r="M115" s="505">
        <f t="shared" si="15"/>
        <v>0</v>
      </c>
      <c r="N115" s="513"/>
      <c r="O115" s="505">
        <f t="shared" si="16"/>
        <v>0</v>
      </c>
      <c r="P115" s="505">
        <f t="shared" si="17"/>
        <v>0</v>
      </c>
    </row>
    <row r="116" spans="2:16" ht="12.5">
      <c r="B116" s="145" t="str">
        <f t="shared" si="13"/>
        <v/>
      </c>
      <c r="C116" s="496">
        <f>IF(D94="","-",+C115+1)</f>
        <v>2033</v>
      </c>
      <c r="D116" s="350">
        <f>IF(F115+SUM(E$100:E115)=D$93,F115,D$93-SUM(E$100:E115))</f>
        <v>47991061.603535339</v>
      </c>
      <c r="E116" s="510">
        <f t="shared" si="18"/>
        <v>2653618.0303030303</v>
      </c>
      <c r="F116" s="511">
        <f t="shared" si="19"/>
        <v>45337443.573232308</v>
      </c>
      <c r="G116" s="511">
        <f t="shared" si="20"/>
        <v>46664252.588383824</v>
      </c>
      <c r="H116" s="628">
        <f t="shared" si="21"/>
        <v>7693787.8307800125</v>
      </c>
      <c r="I116" s="629">
        <f t="shared" si="22"/>
        <v>7693787.8307800125</v>
      </c>
      <c r="J116" s="505">
        <f t="shared" si="14"/>
        <v>0</v>
      </c>
      <c r="K116" s="505"/>
      <c r="L116" s="513"/>
      <c r="M116" s="505">
        <f t="shared" si="15"/>
        <v>0</v>
      </c>
      <c r="N116" s="513"/>
      <c r="O116" s="505">
        <f t="shared" si="16"/>
        <v>0</v>
      </c>
      <c r="P116" s="505">
        <f t="shared" si="17"/>
        <v>0</v>
      </c>
    </row>
    <row r="117" spans="2:16" ht="12.5">
      <c r="B117" s="145" t="str">
        <f t="shared" si="13"/>
        <v/>
      </c>
      <c r="C117" s="496">
        <f>IF(D94="","-",+C116+1)</f>
        <v>2034</v>
      </c>
      <c r="D117" s="350">
        <f>IF(F116+SUM(E$100:E116)=D$93,F116,D$93-SUM(E$100:E116))</f>
        <v>45337443.573232308</v>
      </c>
      <c r="E117" s="510">
        <f t="shared" si="18"/>
        <v>2653618.0303030303</v>
      </c>
      <c r="F117" s="511">
        <f t="shared" si="19"/>
        <v>42683825.542929277</v>
      </c>
      <c r="G117" s="511">
        <f t="shared" si="20"/>
        <v>44010634.558080792</v>
      </c>
      <c r="H117" s="628">
        <f t="shared" si="21"/>
        <v>7407172.6014242563</v>
      </c>
      <c r="I117" s="629">
        <f t="shared" si="22"/>
        <v>7407172.6014242563</v>
      </c>
      <c r="J117" s="505">
        <f t="shared" si="14"/>
        <v>0</v>
      </c>
      <c r="K117" s="505"/>
      <c r="L117" s="513"/>
      <c r="M117" s="505">
        <f t="shared" si="15"/>
        <v>0</v>
      </c>
      <c r="N117" s="513"/>
      <c r="O117" s="505">
        <f t="shared" si="16"/>
        <v>0</v>
      </c>
      <c r="P117" s="505">
        <f t="shared" si="17"/>
        <v>0</v>
      </c>
    </row>
    <row r="118" spans="2:16" ht="12.5">
      <c r="B118" s="145" t="str">
        <f t="shared" si="13"/>
        <v/>
      </c>
      <c r="C118" s="496">
        <f>IF(D94="","-",+C117+1)</f>
        <v>2035</v>
      </c>
      <c r="D118" s="350">
        <f>IF(F117+SUM(E$100:E117)=D$93,F117,D$93-SUM(E$100:E117))</f>
        <v>42683825.542929277</v>
      </c>
      <c r="E118" s="510">
        <f t="shared" si="18"/>
        <v>2653618.0303030303</v>
      </c>
      <c r="F118" s="511">
        <f t="shared" si="19"/>
        <v>40030207.512626246</v>
      </c>
      <c r="G118" s="511">
        <f t="shared" si="20"/>
        <v>41357016.527777761</v>
      </c>
      <c r="H118" s="628">
        <f t="shared" si="21"/>
        <v>7120557.3720685011</v>
      </c>
      <c r="I118" s="629">
        <f t="shared" si="22"/>
        <v>7120557.3720685011</v>
      </c>
      <c r="J118" s="505">
        <f t="shared" si="14"/>
        <v>0</v>
      </c>
      <c r="K118" s="505"/>
      <c r="L118" s="513"/>
      <c r="M118" s="505">
        <f t="shared" si="15"/>
        <v>0</v>
      </c>
      <c r="N118" s="513"/>
      <c r="O118" s="505">
        <f t="shared" si="16"/>
        <v>0</v>
      </c>
      <c r="P118" s="505">
        <f t="shared" si="17"/>
        <v>0</v>
      </c>
    </row>
    <row r="119" spans="2:16" ht="12.5">
      <c r="B119" s="145" t="str">
        <f t="shared" si="13"/>
        <v/>
      </c>
      <c r="C119" s="496">
        <f>IF(D94="","-",+C118+1)</f>
        <v>2036</v>
      </c>
      <c r="D119" s="350">
        <f>IF(F118+SUM(E$100:E118)=D$93,F118,D$93-SUM(E$100:E118))</f>
        <v>40030207.512626246</v>
      </c>
      <c r="E119" s="510">
        <f t="shared" si="18"/>
        <v>2653618.0303030303</v>
      </c>
      <c r="F119" s="511">
        <f t="shared" si="19"/>
        <v>37376589.482323214</v>
      </c>
      <c r="G119" s="511">
        <f t="shared" si="20"/>
        <v>38703398.49747473</v>
      </c>
      <c r="H119" s="628">
        <f t="shared" si="21"/>
        <v>6833942.1427127449</v>
      </c>
      <c r="I119" s="629">
        <f t="shared" si="22"/>
        <v>6833942.1427127449</v>
      </c>
      <c r="J119" s="505">
        <f t="shared" si="14"/>
        <v>0</v>
      </c>
      <c r="K119" s="505"/>
      <c r="L119" s="513"/>
      <c r="M119" s="505">
        <f t="shared" si="15"/>
        <v>0</v>
      </c>
      <c r="N119" s="513"/>
      <c r="O119" s="505">
        <f t="shared" si="16"/>
        <v>0</v>
      </c>
      <c r="P119" s="505">
        <f t="shared" si="17"/>
        <v>0</v>
      </c>
    </row>
    <row r="120" spans="2:16" ht="12.5">
      <c r="B120" s="145" t="str">
        <f t="shared" si="13"/>
        <v/>
      </c>
      <c r="C120" s="496">
        <f>IF(D94="","-",+C119+1)</f>
        <v>2037</v>
      </c>
      <c r="D120" s="350">
        <f>IF(F119+SUM(E$100:E119)=D$93,F119,D$93-SUM(E$100:E119))</f>
        <v>37376589.482323214</v>
      </c>
      <c r="E120" s="510">
        <f t="shared" si="18"/>
        <v>2653618.0303030303</v>
      </c>
      <c r="F120" s="511">
        <f t="shared" si="19"/>
        <v>34722971.452020183</v>
      </c>
      <c r="G120" s="511">
        <f t="shared" si="20"/>
        <v>36049780.467171699</v>
      </c>
      <c r="H120" s="628">
        <f t="shared" si="21"/>
        <v>6547326.9133569896</v>
      </c>
      <c r="I120" s="629">
        <f t="shared" si="22"/>
        <v>6547326.9133569896</v>
      </c>
      <c r="J120" s="505">
        <f t="shared" si="14"/>
        <v>0</v>
      </c>
      <c r="K120" s="505"/>
      <c r="L120" s="513"/>
      <c r="M120" s="505">
        <f t="shared" si="15"/>
        <v>0</v>
      </c>
      <c r="N120" s="513"/>
      <c r="O120" s="505">
        <f t="shared" si="16"/>
        <v>0</v>
      </c>
      <c r="P120" s="505">
        <f t="shared" si="17"/>
        <v>0</v>
      </c>
    </row>
    <row r="121" spans="2:16" ht="12.5">
      <c r="B121" s="145" t="str">
        <f t="shared" si="13"/>
        <v/>
      </c>
      <c r="C121" s="496">
        <f>IF(D94="","-",+C120+1)</f>
        <v>2038</v>
      </c>
      <c r="D121" s="350">
        <f>IF(F120+SUM(E$100:E120)=D$93,F120,D$93-SUM(E$100:E120))</f>
        <v>34722971.452020183</v>
      </c>
      <c r="E121" s="510">
        <f t="shared" si="18"/>
        <v>2653618.0303030303</v>
      </c>
      <c r="F121" s="511">
        <f t="shared" si="19"/>
        <v>32069353.421717152</v>
      </c>
      <c r="G121" s="511">
        <f t="shared" si="20"/>
        <v>33396162.436868668</v>
      </c>
      <c r="H121" s="628">
        <f t="shared" si="21"/>
        <v>6260711.6840012334</v>
      </c>
      <c r="I121" s="629">
        <f t="shared" si="22"/>
        <v>6260711.6840012334</v>
      </c>
      <c r="J121" s="505">
        <f t="shared" si="14"/>
        <v>0</v>
      </c>
      <c r="K121" s="505"/>
      <c r="L121" s="513"/>
      <c r="M121" s="505">
        <f t="shared" si="15"/>
        <v>0</v>
      </c>
      <c r="N121" s="513"/>
      <c r="O121" s="505">
        <f t="shared" si="16"/>
        <v>0</v>
      </c>
      <c r="P121" s="505">
        <f t="shared" si="17"/>
        <v>0</v>
      </c>
    </row>
    <row r="122" spans="2:16" ht="12.5">
      <c r="B122" s="145" t="str">
        <f t="shared" si="13"/>
        <v/>
      </c>
      <c r="C122" s="496">
        <f>IF(D94="","-",+C121+1)</f>
        <v>2039</v>
      </c>
      <c r="D122" s="350">
        <f>IF(F121+SUM(E$100:E121)=D$93,F121,D$93-SUM(E$100:E121))</f>
        <v>32069353.421717152</v>
      </c>
      <c r="E122" s="510">
        <f t="shared" si="18"/>
        <v>2653618.0303030303</v>
      </c>
      <c r="F122" s="511">
        <f t="shared" si="19"/>
        <v>29415735.391414121</v>
      </c>
      <c r="G122" s="511">
        <f t="shared" si="20"/>
        <v>30742544.406565636</v>
      </c>
      <c r="H122" s="628">
        <f t="shared" si="21"/>
        <v>5974096.4546454772</v>
      </c>
      <c r="I122" s="629">
        <f t="shared" si="22"/>
        <v>5974096.4546454772</v>
      </c>
      <c r="J122" s="505">
        <f t="shared" si="14"/>
        <v>0</v>
      </c>
      <c r="K122" s="505"/>
      <c r="L122" s="513"/>
      <c r="M122" s="505">
        <f t="shared" si="15"/>
        <v>0</v>
      </c>
      <c r="N122" s="513"/>
      <c r="O122" s="505">
        <f t="shared" si="16"/>
        <v>0</v>
      </c>
      <c r="P122" s="505">
        <f t="shared" si="17"/>
        <v>0</v>
      </c>
    </row>
    <row r="123" spans="2:16" ht="12.5">
      <c r="B123" s="145" t="str">
        <f t="shared" si="13"/>
        <v/>
      </c>
      <c r="C123" s="496">
        <f>IF(D94="","-",+C122+1)</f>
        <v>2040</v>
      </c>
      <c r="D123" s="350">
        <f>IF(F122+SUM(E$100:E122)=D$93,F122,D$93-SUM(E$100:E122))</f>
        <v>29415735.391414121</v>
      </c>
      <c r="E123" s="510">
        <f t="shared" si="18"/>
        <v>2653618.0303030303</v>
      </c>
      <c r="F123" s="511">
        <f t="shared" si="19"/>
        <v>26762117.36111109</v>
      </c>
      <c r="G123" s="511">
        <f t="shared" si="20"/>
        <v>28088926.376262605</v>
      </c>
      <c r="H123" s="628">
        <f t="shared" si="21"/>
        <v>5687481.225289722</v>
      </c>
      <c r="I123" s="629">
        <f t="shared" si="22"/>
        <v>5687481.225289722</v>
      </c>
      <c r="J123" s="505">
        <f t="shared" si="14"/>
        <v>0</v>
      </c>
      <c r="K123" s="505"/>
      <c r="L123" s="513"/>
      <c r="M123" s="505">
        <f t="shared" si="15"/>
        <v>0</v>
      </c>
      <c r="N123" s="513"/>
      <c r="O123" s="505">
        <f t="shared" si="16"/>
        <v>0</v>
      </c>
      <c r="P123" s="505">
        <f t="shared" si="17"/>
        <v>0</v>
      </c>
    </row>
    <row r="124" spans="2:16" ht="12.5">
      <c r="B124" s="145" t="str">
        <f t="shared" si="13"/>
        <v/>
      </c>
      <c r="C124" s="496">
        <f>IF(D94="","-",+C123+1)</f>
        <v>2041</v>
      </c>
      <c r="D124" s="350">
        <f>IF(F123+SUM(E$100:E123)=D$93,F123,D$93-SUM(E$100:E123))</f>
        <v>26762117.36111109</v>
      </c>
      <c r="E124" s="510">
        <f t="shared" si="18"/>
        <v>2653618.0303030303</v>
      </c>
      <c r="F124" s="511">
        <f t="shared" si="19"/>
        <v>24108499.330808058</v>
      </c>
      <c r="G124" s="511">
        <f t="shared" si="20"/>
        <v>25435308.345959574</v>
      </c>
      <c r="H124" s="628">
        <f t="shared" si="21"/>
        <v>5400865.9959339658</v>
      </c>
      <c r="I124" s="629">
        <f t="shared" si="22"/>
        <v>5400865.9959339658</v>
      </c>
      <c r="J124" s="505">
        <f t="shared" si="14"/>
        <v>0</v>
      </c>
      <c r="K124" s="505"/>
      <c r="L124" s="513"/>
      <c r="M124" s="505">
        <f t="shared" si="15"/>
        <v>0</v>
      </c>
      <c r="N124" s="513"/>
      <c r="O124" s="505">
        <f t="shared" si="16"/>
        <v>0</v>
      </c>
      <c r="P124" s="505">
        <f t="shared" si="17"/>
        <v>0</v>
      </c>
    </row>
    <row r="125" spans="2:16" ht="12.5">
      <c r="B125" s="145" t="str">
        <f t="shared" si="13"/>
        <v/>
      </c>
      <c r="C125" s="496">
        <f>IF(D94="","-",+C124+1)</f>
        <v>2042</v>
      </c>
      <c r="D125" s="350">
        <f>IF(F124+SUM(E$100:E124)=D$93,F124,D$93-SUM(E$100:E124))</f>
        <v>24108499.330808058</v>
      </c>
      <c r="E125" s="510">
        <f t="shared" si="18"/>
        <v>2653618.0303030303</v>
      </c>
      <c r="F125" s="511">
        <f t="shared" si="19"/>
        <v>21454881.300505027</v>
      </c>
      <c r="G125" s="511">
        <f t="shared" si="20"/>
        <v>22781690.315656543</v>
      </c>
      <c r="H125" s="628">
        <f t="shared" si="21"/>
        <v>5114250.7665782105</v>
      </c>
      <c r="I125" s="629">
        <f t="shared" si="22"/>
        <v>5114250.7665782105</v>
      </c>
      <c r="J125" s="505">
        <f t="shared" si="14"/>
        <v>0</v>
      </c>
      <c r="K125" s="505"/>
      <c r="L125" s="513"/>
      <c r="M125" s="505">
        <f t="shared" si="15"/>
        <v>0</v>
      </c>
      <c r="N125" s="513"/>
      <c r="O125" s="505">
        <f t="shared" si="16"/>
        <v>0</v>
      </c>
      <c r="P125" s="505">
        <f t="shared" si="17"/>
        <v>0</v>
      </c>
    </row>
    <row r="126" spans="2:16" ht="12.5">
      <c r="B126" s="145" t="str">
        <f t="shared" si="13"/>
        <v/>
      </c>
      <c r="C126" s="496">
        <f>IF(D94="","-",+C125+1)</f>
        <v>2043</v>
      </c>
      <c r="D126" s="350">
        <f>IF(F125+SUM(E$100:E125)=D$93,F125,D$93-SUM(E$100:E125))</f>
        <v>21454881.300505027</v>
      </c>
      <c r="E126" s="510">
        <f t="shared" si="18"/>
        <v>2653618.0303030303</v>
      </c>
      <c r="F126" s="511">
        <f t="shared" si="19"/>
        <v>18801263.270201996</v>
      </c>
      <c r="G126" s="511">
        <f t="shared" si="20"/>
        <v>20128072.285353512</v>
      </c>
      <c r="H126" s="628">
        <f t="shared" si="21"/>
        <v>4827635.5372224543</v>
      </c>
      <c r="I126" s="629">
        <f t="shared" si="22"/>
        <v>4827635.5372224543</v>
      </c>
      <c r="J126" s="505">
        <f t="shared" si="14"/>
        <v>0</v>
      </c>
      <c r="K126" s="505"/>
      <c r="L126" s="513"/>
      <c r="M126" s="505">
        <f t="shared" si="15"/>
        <v>0</v>
      </c>
      <c r="N126" s="513"/>
      <c r="O126" s="505">
        <f t="shared" si="16"/>
        <v>0</v>
      </c>
      <c r="P126" s="505">
        <f t="shared" si="17"/>
        <v>0</v>
      </c>
    </row>
    <row r="127" spans="2:16" ht="12.5">
      <c r="B127" s="145" t="str">
        <f t="shared" si="13"/>
        <v/>
      </c>
      <c r="C127" s="496">
        <f>IF(D94="","-",+C126+1)</f>
        <v>2044</v>
      </c>
      <c r="D127" s="350">
        <f>IF(F126+SUM(E$100:E126)=D$93,F126,D$93-SUM(E$100:E126))</f>
        <v>18801263.270201996</v>
      </c>
      <c r="E127" s="510">
        <f t="shared" si="18"/>
        <v>2653618.0303030303</v>
      </c>
      <c r="F127" s="511">
        <f t="shared" si="19"/>
        <v>16147645.239898965</v>
      </c>
      <c r="G127" s="511">
        <f t="shared" si="20"/>
        <v>17474454.25505048</v>
      </c>
      <c r="H127" s="628">
        <f t="shared" si="21"/>
        <v>4541020.3078666981</v>
      </c>
      <c r="I127" s="629">
        <f t="shared" si="22"/>
        <v>4541020.3078666981</v>
      </c>
      <c r="J127" s="505">
        <f t="shared" si="14"/>
        <v>0</v>
      </c>
      <c r="K127" s="505"/>
      <c r="L127" s="513"/>
      <c r="M127" s="505">
        <f t="shared" si="15"/>
        <v>0</v>
      </c>
      <c r="N127" s="513"/>
      <c r="O127" s="505">
        <f t="shared" si="16"/>
        <v>0</v>
      </c>
      <c r="P127" s="505">
        <f t="shared" si="17"/>
        <v>0</v>
      </c>
    </row>
    <row r="128" spans="2:16" ht="12.5">
      <c r="B128" s="145" t="str">
        <f t="shared" si="13"/>
        <v/>
      </c>
      <c r="C128" s="496">
        <f>IF(D94="","-",+C127+1)</f>
        <v>2045</v>
      </c>
      <c r="D128" s="350">
        <f>IF(F127+SUM(E$100:E127)=D$93,F127,D$93-SUM(E$100:E127))</f>
        <v>16147645.239898965</v>
      </c>
      <c r="E128" s="510">
        <f t="shared" si="18"/>
        <v>2653618.0303030303</v>
      </c>
      <c r="F128" s="511">
        <f t="shared" si="19"/>
        <v>13494027.209595934</v>
      </c>
      <c r="G128" s="511">
        <f t="shared" si="20"/>
        <v>14820836.224747449</v>
      </c>
      <c r="H128" s="628">
        <f t="shared" si="21"/>
        <v>4254405.0785109429</v>
      </c>
      <c r="I128" s="629">
        <f t="shared" si="22"/>
        <v>4254405.0785109429</v>
      </c>
      <c r="J128" s="505">
        <f t="shared" si="14"/>
        <v>0</v>
      </c>
      <c r="K128" s="505"/>
      <c r="L128" s="513"/>
      <c r="M128" s="505">
        <f t="shared" si="15"/>
        <v>0</v>
      </c>
      <c r="N128" s="513"/>
      <c r="O128" s="505">
        <f t="shared" si="16"/>
        <v>0</v>
      </c>
      <c r="P128" s="505">
        <f t="shared" si="17"/>
        <v>0</v>
      </c>
    </row>
    <row r="129" spans="2:16" ht="12.5">
      <c r="B129" s="145" t="str">
        <f t="shared" si="13"/>
        <v/>
      </c>
      <c r="C129" s="496">
        <f>IF(D94="","-",+C128+1)</f>
        <v>2046</v>
      </c>
      <c r="D129" s="350">
        <f>IF(F128+SUM(E$100:E128)=D$93,F128,D$93-SUM(E$100:E128))</f>
        <v>13494027.209595934</v>
      </c>
      <c r="E129" s="510">
        <f t="shared" si="18"/>
        <v>2653618.0303030303</v>
      </c>
      <c r="F129" s="511">
        <f t="shared" si="19"/>
        <v>10840409.179292902</v>
      </c>
      <c r="G129" s="511">
        <f t="shared" si="20"/>
        <v>12167218.194444418</v>
      </c>
      <c r="H129" s="628">
        <f t="shared" si="21"/>
        <v>3967789.8491551867</v>
      </c>
      <c r="I129" s="629">
        <f t="shared" si="22"/>
        <v>3967789.8491551867</v>
      </c>
      <c r="J129" s="505">
        <f t="shared" si="14"/>
        <v>0</v>
      </c>
      <c r="K129" s="505"/>
      <c r="L129" s="513"/>
      <c r="M129" s="505">
        <f t="shared" si="15"/>
        <v>0</v>
      </c>
      <c r="N129" s="513"/>
      <c r="O129" s="505">
        <f t="shared" si="16"/>
        <v>0</v>
      </c>
      <c r="P129" s="505">
        <f t="shared" si="17"/>
        <v>0</v>
      </c>
    </row>
    <row r="130" spans="2:16" ht="12.5">
      <c r="B130" s="145" t="str">
        <f t="shared" si="13"/>
        <v/>
      </c>
      <c r="C130" s="496">
        <f>IF(D94="","-",+C129+1)</f>
        <v>2047</v>
      </c>
      <c r="D130" s="350">
        <f>IF(F129+SUM(E$100:E129)=D$93,F129,D$93-SUM(E$100:E129))</f>
        <v>10840409.179292902</v>
      </c>
      <c r="E130" s="510">
        <f t="shared" si="18"/>
        <v>2653618.0303030303</v>
      </c>
      <c r="F130" s="511">
        <f t="shared" si="19"/>
        <v>8186791.1489898721</v>
      </c>
      <c r="G130" s="511">
        <f t="shared" si="20"/>
        <v>9513600.1641413867</v>
      </c>
      <c r="H130" s="628">
        <f t="shared" si="21"/>
        <v>3681174.6197994314</v>
      </c>
      <c r="I130" s="629">
        <f t="shared" si="22"/>
        <v>3681174.6197994314</v>
      </c>
      <c r="J130" s="505">
        <f t="shared" si="14"/>
        <v>0</v>
      </c>
      <c r="K130" s="505"/>
      <c r="L130" s="513"/>
      <c r="M130" s="505">
        <f t="shared" si="15"/>
        <v>0</v>
      </c>
      <c r="N130" s="513"/>
      <c r="O130" s="505">
        <f t="shared" si="16"/>
        <v>0</v>
      </c>
      <c r="P130" s="505">
        <f t="shared" si="17"/>
        <v>0</v>
      </c>
    </row>
    <row r="131" spans="2:16" ht="12.5">
      <c r="B131" s="145" t="str">
        <f t="shared" si="13"/>
        <v/>
      </c>
      <c r="C131" s="496">
        <f>IF(D94="","-",+C130+1)</f>
        <v>2048</v>
      </c>
      <c r="D131" s="350">
        <f>IF(F130+SUM(E$100:E130)=D$93,F130,D$93-SUM(E$100:E130))</f>
        <v>8186791.1489898721</v>
      </c>
      <c r="E131" s="510">
        <f t="shared" si="18"/>
        <v>2653618.0303030303</v>
      </c>
      <c r="F131" s="511">
        <f t="shared" si="19"/>
        <v>5533173.1186868418</v>
      </c>
      <c r="G131" s="511">
        <f t="shared" si="20"/>
        <v>6859982.1338383574</v>
      </c>
      <c r="H131" s="628">
        <f t="shared" si="21"/>
        <v>3394559.3904436757</v>
      </c>
      <c r="I131" s="629">
        <f t="shared" si="22"/>
        <v>3394559.3904436757</v>
      </c>
      <c r="J131" s="505">
        <f t="shared" si="14"/>
        <v>0</v>
      </c>
      <c r="K131" s="505"/>
      <c r="L131" s="513"/>
      <c r="M131" s="505">
        <f t="shared" si="15"/>
        <v>0</v>
      </c>
      <c r="N131" s="513"/>
      <c r="O131" s="505">
        <f t="shared" si="16"/>
        <v>0</v>
      </c>
      <c r="P131" s="505">
        <f t="shared" si="17"/>
        <v>0</v>
      </c>
    </row>
    <row r="132" spans="2:16" ht="12.5">
      <c r="B132" s="145" t="str">
        <f t="shared" si="13"/>
        <v/>
      </c>
      <c r="C132" s="496">
        <f>IF(D94="","-",+C131+1)</f>
        <v>2049</v>
      </c>
      <c r="D132" s="350">
        <f>IF(F131+SUM(E$100:E131)=D$93,F131,D$93-SUM(E$100:E131))</f>
        <v>5533173.1186868418</v>
      </c>
      <c r="E132" s="510">
        <f t="shared" si="18"/>
        <v>2653618.0303030303</v>
      </c>
      <c r="F132" s="511">
        <f t="shared" ref="F132:F155" si="23">+D132-E132</f>
        <v>2879555.0883838115</v>
      </c>
      <c r="G132" s="511">
        <f t="shared" ref="G132:G155" si="24">+(F132+D132)/2</f>
        <v>4206364.1035353262</v>
      </c>
      <c r="H132" s="628">
        <f t="shared" si="21"/>
        <v>3107944.16108792</v>
      </c>
      <c r="I132" s="629">
        <f t="shared" si="22"/>
        <v>3107944.16108792</v>
      </c>
      <c r="J132" s="505">
        <f t="shared" ref="J132:J155" si="25">+I542-H542</f>
        <v>0</v>
      </c>
      <c r="K132" s="505"/>
      <c r="L132" s="513"/>
      <c r="M132" s="505">
        <f t="shared" ref="M132:M155" si="26">IF(L542&lt;&gt;0,+H542-L542,0)</f>
        <v>0</v>
      </c>
      <c r="N132" s="513"/>
      <c r="O132" s="505">
        <f t="shared" ref="O132:O155" si="27">IF(N542&lt;&gt;0,+I542-N542,0)</f>
        <v>0</v>
      </c>
      <c r="P132" s="505">
        <f t="shared" ref="P132:P155" si="28">+O542-M542</f>
        <v>0</v>
      </c>
    </row>
    <row r="133" spans="2:16" ht="12.5">
      <c r="B133" s="145" t="str">
        <f t="shared" si="13"/>
        <v/>
      </c>
      <c r="C133" s="496">
        <f>IF(D94="","-",+C132+1)</f>
        <v>2050</v>
      </c>
      <c r="D133" s="350">
        <f>IF(F132+SUM(E$100:E132)=D$93,F132,D$93-SUM(E$100:E132))</f>
        <v>2879555.0883838115</v>
      </c>
      <c r="E133" s="510">
        <f t="shared" ref="E133:E155" si="29">IF(+J$97&lt;F132,J$97,D133)</f>
        <v>2653618.0303030303</v>
      </c>
      <c r="F133" s="511">
        <f t="shared" si="23"/>
        <v>225937.05808078125</v>
      </c>
      <c r="G133" s="511">
        <f t="shared" si="24"/>
        <v>1552746.0732322964</v>
      </c>
      <c r="H133" s="628">
        <f t="shared" si="21"/>
        <v>2821328.9317321642</v>
      </c>
      <c r="I133" s="629">
        <f t="shared" si="22"/>
        <v>2821328.9317321642</v>
      </c>
      <c r="J133" s="505">
        <f t="shared" si="25"/>
        <v>0</v>
      </c>
      <c r="K133" s="505"/>
      <c r="L133" s="513"/>
      <c r="M133" s="505">
        <f t="shared" si="26"/>
        <v>0</v>
      </c>
      <c r="N133" s="513"/>
      <c r="O133" s="505">
        <f t="shared" si="27"/>
        <v>0</v>
      </c>
      <c r="P133" s="505">
        <f t="shared" si="28"/>
        <v>0</v>
      </c>
    </row>
    <row r="134" spans="2:16" ht="12.5">
      <c r="B134" s="145" t="str">
        <f t="shared" si="13"/>
        <v/>
      </c>
      <c r="C134" s="496">
        <f>IF(D94="","-",+C133+1)</f>
        <v>2051</v>
      </c>
      <c r="D134" s="350">
        <f>IF(F133+SUM(E$100:E133)=D$93,F133,D$93-SUM(E$100:E133))</f>
        <v>225937.05808078125</v>
      </c>
      <c r="E134" s="510">
        <f t="shared" si="29"/>
        <v>225937.05808078125</v>
      </c>
      <c r="F134" s="511">
        <f t="shared" si="23"/>
        <v>0</v>
      </c>
      <c r="G134" s="511">
        <f t="shared" si="24"/>
        <v>112968.52904039063</v>
      </c>
      <c r="H134" s="628">
        <f t="shared" si="21"/>
        <v>238138.70145640921</v>
      </c>
      <c r="I134" s="629">
        <f t="shared" si="22"/>
        <v>238138.70145640921</v>
      </c>
      <c r="J134" s="505">
        <f t="shared" si="25"/>
        <v>0</v>
      </c>
      <c r="K134" s="505"/>
      <c r="L134" s="513"/>
      <c r="M134" s="505">
        <f t="shared" si="26"/>
        <v>0</v>
      </c>
      <c r="N134" s="513"/>
      <c r="O134" s="505">
        <f t="shared" si="27"/>
        <v>0</v>
      </c>
      <c r="P134" s="505">
        <f t="shared" si="28"/>
        <v>0</v>
      </c>
    </row>
    <row r="135" spans="2:16" ht="12.5">
      <c r="B135" s="145" t="str">
        <f t="shared" si="13"/>
        <v/>
      </c>
      <c r="C135" s="496">
        <f>IF(D94="","-",+C134+1)</f>
        <v>2052</v>
      </c>
      <c r="D135" s="350">
        <f>IF(F134+SUM(E$100:E134)=D$93,F134,D$93-SUM(E$100:E134))</f>
        <v>0</v>
      </c>
      <c r="E135" s="510">
        <f t="shared" si="29"/>
        <v>0</v>
      </c>
      <c r="F135" s="511">
        <f t="shared" si="23"/>
        <v>0</v>
      </c>
      <c r="G135" s="511">
        <f t="shared" si="24"/>
        <v>0</v>
      </c>
      <c r="H135" s="628">
        <f t="shared" si="21"/>
        <v>0</v>
      </c>
      <c r="I135" s="629">
        <f t="shared" si="22"/>
        <v>0</v>
      </c>
      <c r="J135" s="505">
        <f t="shared" si="25"/>
        <v>0</v>
      </c>
      <c r="K135" s="505"/>
      <c r="L135" s="513"/>
      <c r="M135" s="505">
        <f t="shared" si="26"/>
        <v>0</v>
      </c>
      <c r="N135" s="513"/>
      <c r="O135" s="505">
        <f t="shared" si="27"/>
        <v>0</v>
      </c>
      <c r="P135" s="505">
        <f t="shared" si="28"/>
        <v>0</v>
      </c>
    </row>
    <row r="136" spans="2:16" ht="12.5">
      <c r="B136" s="145" t="str">
        <f t="shared" si="13"/>
        <v/>
      </c>
      <c r="C136" s="496">
        <f>IF(D94="","-",+C135+1)</f>
        <v>2053</v>
      </c>
      <c r="D136" s="350">
        <f>IF(F135+SUM(E$100:E135)=D$93,F135,D$93-SUM(E$100:E135))</f>
        <v>0</v>
      </c>
      <c r="E136" s="510">
        <f t="shared" si="29"/>
        <v>0</v>
      </c>
      <c r="F136" s="511">
        <f t="shared" si="23"/>
        <v>0</v>
      </c>
      <c r="G136" s="511">
        <f t="shared" si="24"/>
        <v>0</v>
      </c>
      <c r="H136" s="628">
        <f t="shared" si="21"/>
        <v>0</v>
      </c>
      <c r="I136" s="629">
        <f t="shared" si="22"/>
        <v>0</v>
      </c>
      <c r="J136" s="505">
        <f t="shared" si="25"/>
        <v>0</v>
      </c>
      <c r="K136" s="505"/>
      <c r="L136" s="513"/>
      <c r="M136" s="505">
        <f t="shared" si="26"/>
        <v>0</v>
      </c>
      <c r="N136" s="513"/>
      <c r="O136" s="505">
        <f t="shared" si="27"/>
        <v>0</v>
      </c>
      <c r="P136" s="505">
        <f t="shared" si="28"/>
        <v>0</v>
      </c>
    </row>
    <row r="137" spans="2:16" ht="12.5">
      <c r="B137" s="145" t="str">
        <f t="shared" si="13"/>
        <v/>
      </c>
      <c r="C137" s="496">
        <f>IF(D94="","-",+C136+1)</f>
        <v>2054</v>
      </c>
      <c r="D137" s="350">
        <f>IF(F136+SUM(E$100:E136)=D$93,F136,D$93-SUM(E$100:E136))</f>
        <v>0</v>
      </c>
      <c r="E137" s="510">
        <f t="shared" si="29"/>
        <v>0</v>
      </c>
      <c r="F137" s="511">
        <f t="shared" si="23"/>
        <v>0</v>
      </c>
      <c r="G137" s="511">
        <f t="shared" si="24"/>
        <v>0</v>
      </c>
      <c r="H137" s="628">
        <f t="shared" si="21"/>
        <v>0</v>
      </c>
      <c r="I137" s="629">
        <f t="shared" si="22"/>
        <v>0</v>
      </c>
      <c r="J137" s="505">
        <f t="shared" si="25"/>
        <v>0</v>
      </c>
      <c r="K137" s="505"/>
      <c r="L137" s="513"/>
      <c r="M137" s="505">
        <f t="shared" si="26"/>
        <v>0</v>
      </c>
      <c r="N137" s="513"/>
      <c r="O137" s="505">
        <f t="shared" si="27"/>
        <v>0</v>
      </c>
      <c r="P137" s="505">
        <f t="shared" si="28"/>
        <v>0</v>
      </c>
    </row>
    <row r="138" spans="2:16" ht="12.5">
      <c r="B138" s="145" t="str">
        <f t="shared" si="13"/>
        <v/>
      </c>
      <c r="C138" s="496">
        <f>IF(D94="","-",+C137+1)</f>
        <v>2055</v>
      </c>
      <c r="D138" s="350">
        <f>IF(F137+SUM(E$100:E137)=D$93,F137,D$93-SUM(E$100:E137))</f>
        <v>0</v>
      </c>
      <c r="E138" s="510">
        <f t="shared" si="29"/>
        <v>0</v>
      </c>
      <c r="F138" s="511">
        <f t="shared" si="23"/>
        <v>0</v>
      </c>
      <c r="G138" s="511">
        <f t="shared" si="24"/>
        <v>0</v>
      </c>
      <c r="H138" s="628">
        <f t="shared" si="21"/>
        <v>0</v>
      </c>
      <c r="I138" s="629">
        <f t="shared" si="22"/>
        <v>0</v>
      </c>
      <c r="J138" s="505">
        <f t="shared" si="25"/>
        <v>0</v>
      </c>
      <c r="K138" s="505"/>
      <c r="L138" s="513"/>
      <c r="M138" s="505">
        <f t="shared" si="26"/>
        <v>0</v>
      </c>
      <c r="N138" s="513"/>
      <c r="O138" s="505">
        <f t="shared" si="27"/>
        <v>0</v>
      </c>
      <c r="P138" s="505">
        <f t="shared" si="28"/>
        <v>0</v>
      </c>
    </row>
    <row r="139" spans="2:16" ht="12.5">
      <c r="B139" s="145" t="str">
        <f t="shared" si="13"/>
        <v/>
      </c>
      <c r="C139" s="496">
        <f>IF(D94="","-",+C138+1)</f>
        <v>2056</v>
      </c>
      <c r="D139" s="350">
        <f>IF(F138+SUM(E$100:E138)=D$93,F138,D$93-SUM(E$100:E138))</f>
        <v>0</v>
      </c>
      <c r="E139" s="510">
        <f t="shared" si="29"/>
        <v>0</v>
      </c>
      <c r="F139" s="511">
        <f t="shared" si="23"/>
        <v>0</v>
      </c>
      <c r="G139" s="511">
        <f t="shared" si="24"/>
        <v>0</v>
      </c>
      <c r="H139" s="628">
        <f t="shared" si="21"/>
        <v>0</v>
      </c>
      <c r="I139" s="629">
        <f t="shared" si="22"/>
        <v>0</v>
      </c>
      <c r="J139" s="505">
        <f t="shared" si="25"/>
        <v>0</v>
      </c>
      <c r="K139" s="505"/>
      <c r="L139" s="513"/>
      <c r="M139" s="505">
        <f t="shared" si="26"/>
        <v>0</v>
      </c>
      <c r="N139" s="513"/>
      <c r="O139" s="505">
        <f t="shared" si="27"/>
        <v>0</v>
      </c>
      <c r="P139" s="505">
        <f t="shared" si="28"/>
        <v>0</v>
      </c>
    </row>
    <row r="140" spans="2:16" ht="12.5">
      <c r="B140" s="145" t="str">
        <f t="shared" si="13"/>
        <v/>
      </c>
      <c r="C140" s="496">
        <f>IF(D94="","-",+C139+1)</f>
        <v>2057</v>
      </c>
      <c r="D140" s="350">
        <f>IF(F139+SUM(E$100:E139)=D$93,F139,D$93-SUM(E$100:E139))</f>
        <v>0</v>
      </c>
      <c r="E140" s="510">
        <f t="shared" si="29"/>
        <v>0</v>
      </c>
      <c r="F140" s="511">
        <f t="shared" si="23"/>
        <v>0</v>
      </c>
      <c r="G140" s="511">
        <f t="shared" si="24"/>
        <v>0</v>
      </c>
      <c r="H140" s="628">
        <f t="shared" si="21"/>
        <v>0</v>
      </c>
      <c r="I140" s="629">
        <f t="shared" si="22"/>
        <v>0</v>
      </c>
      <c r="J140" s="505">
        <f t="shared" si="25"/>
        <v>0</v>
      </c>
      <c r="K140" s="505"/>
      <c r="L140" s="513"/>
      <c r="M140" s="505">
        <f t="shared" si="26"/>
        <v>0</v>
      </c>
      <c r="N140" s="513"/>
      <c r="O140" s="505">
        <f t="shared" si="27"/>
        <v>0</v>
      </c>
      <c r="P140" s="505">
        <f t="shared" si="28"/>
        <v>0</v>
      </c>
    </row>
    <row r="141" spans="2:16" ht="12.5">
      <c r="B141" s="145" t="str">
        <f t="shared" si="13"/>
        <v/>
      </c>
      <c r="C141" s="496">
        <f>IF(D94="","-",+C140+1)</f>
        <v>2058</v>
      </c>
      <c r="D141" s="350">
        <f>IF(F140+SUM(E$100:E140)=D$93,F140,D$93-SUM(E$100:E140))</f>
        <v>0</v>
      </c>
      <c r="E141" s="510">
        <f t="shared" si="29"/>
        <v>0</v>
      </c>
      <c r="F141" s="511">
        <f t="shared" si="23"/>
        <v>0</v>
      </c>
      <c r="G141" s="511">
        <f t="shared" si="24"/>
        <v>0</v>
      </c>
      <c r="H141" s="628">
        <f t="shared" si="21"/>
        <v>0</v>
      </c>
      <c r="I141" s="629">
        <f t="shared" si="22"/>
        <v>0</v>
      </c>
      <c r="J141" s="505">
        <f t="shared" si="25"/>
        <v>0</v>
      </c>
      <c r="K141" s="505"/>
      <c r="L141" s="513"/>
      <c r="M141" s="505">
        <f t="shared" si="26"/>
        <v>0</v>
      </c>
      <c r="N141" s="513"/>
      <c r="O141" s="505">
        <f t="shared" si="27"/>
        <v>0</v>
      </c>
      <c r="P141" s="505">
        <f t="shared" si="28"/>
        <v>0</v>
      </c>
    </row>
    <row r="142" spans="2:16" ht="12.5">
      <c r="B142" s="145" t="str">
        <f t="shared" si="13"/>
        <v/>
      </c>
      <c r="C142" s="496">
        <f>IF(D94="","-",+C141+1)</f>
        <v>2059</v>
      </c>
      <c r="D142" s="350">
        <f>IF(F141+SUM(E$100:E141)=D$93,F141,D$93-SUM(E$100:E141))</f>
        <v>0</v>
      </c>
      <c r="E142" s="510">
        <f t="shared" si="29"/>
        <v>0</v>
      </c>
      <c r="F142" s="511">
        <f t="shared" si="23"/>
        <v>0</v>
      </c>
      <c r="G142" s="511">
        <f t="shared" si="24"/>
        <v>0</v>
      </c>
      <c r="H142" s="628">
        <f t="shared" si="21"/>
        <v>0</v>
      </c>
      <c r="I142" s="629">
        <f t="shared" si="22"/>
        <v>0</v>
      </c>
      <c r="J142" s="505">
        <f t="shared" si="25"/>
        <v>0</v>
      </c>
      <c r="K142" s="505"/>
      <c r="L142" s="513"/>
      <c r="M142" s="505">
        <f t="shared" si="26"/>
        <v>0</v>
      </c>
      <c r="N142" s="513"/>
      <c r="O142" s="505">
        <f t="shared" si="27"/>
        <v>0</v>
      </c>
      <c r="P142" s="505">
        <f t="shared" si="28"/>
        <v>0</v>
      </c>
    </row>
    <row r="143" spans="2:16" ht="12.5">
      <c r="B143" s="145" t="str">
        <f t="shared" si="13"/>
        <v/>
      </c>
      <c r="C143" s="496">
        <f>IF(D94="","-",+C142+1)</f>
        <v>2060</v>
      </c>
      <c r="D143" s="350">
        <f>IF(F142+SUM(E$100:E142)=D$93,F142,D$93-SUM(E$100:E142))</f>
        <v>0</v>
      </c>
      <c r="E143" s="510">
        <f t="shared" si="29"/>
        <v>0</v>
      </c>
      <c r="F143" s="511">
        <f t="shared" si="23"/>
        <v>0</v>
      </c>
      <c r="G143" s="511">
        <f t="shared" si="24"/>
        <v>0</v>
      </c>
      <c r="H143" s="628">
        <f t="shared" si="21"/>
        <v>0</v>
      </c>
      <c r="I143" s="629">
        <f t="shared" si="22"/>
        <v>0</v>
      </c>
      <c r="J143" s="505">
        <f t="shared" si="25"/>
        <v>0</v>
      </c>
      <c r="K143" s="505"/>
      <c r="L143" s="513"/>
      <c r="M143" s="505">
        <f t="shared" si="26"/>
        <v>0</v>
      </c>
      <c r="N143" s="513"/>
      <c r="O143" s="505">
        <f t="shared" si="27"/>
        <v>0</v>
      </c>
      <c r="P143" s="505">
        <f t="shared" si="28"/>
        <v>0</v>
      </c>
    </row>
    <row r="144" spans="2:16" ht="12.5">
      <c r="B144" s="145" t="str">
        <f t="shared" si="13"/>
        <v/>
      </c>
      <c r="C144" s="496">
        <f>IF(D94="","-",+C143+1)</f>
        <v>2061</v>
      </c>
      <c r="D144" s="350">
        <f>IF(F143+SUM(E$100:E143)=D$93,F143,D$93-SUM(E$100:E143))</f>
        <v>0</v>
      </c>
      <c r="E144" s="510">
        <f t="shared" si="29"/>
        <v>0</v>
      </c>
      <c r="F144" s="511">
        <f t="shared" si="23"/>
        <v>0</v>
      </c>
      <c r="G144" s="511">
        <f t="shared" si="24"/>
        <v>0</v>
      </c>
      <c r="H144" s="628">
        <f t="shared" si="21"/>
        <v>0</v>
      </c>
      <c r="I144" s="629">
        <f t="shared" si="22"/>
        <v>0</v>
      </c>
      <c r="J144" s="505">
        <f t="shared" si="25"/>
        <v>0</v>
      </c>
      <c r="K144" s="505"/>
      <c r="L144" s="513"/>
      <c r="M144" s="505">
        <f t="shared" si="26"/>
        <v>0</v>
      </c>
      <c r="N144" s="513"/>
      <c r="O144" s="505">
        <f t="shared" si="27"/>
        <v>0</v>
      </c>
      <c r="P144" s="505">
        <f t="shared" si="28"/>
        <v>0</v>
      </c>
    </row>
    <row r="145" spans="2:16" ht="12.5">
      <c r="B145" s="145" t="str">
        <f t="shared" si="13"/>
        <v/>
      </c>
      <c r="C145" s="496">
        <f>IF(D94="","-",+C144+1)</f>
        <v>2062</v>
      </c>
      <c r="D145" s="350">
        <f>IF(F144+SUM(E$100:E144)=D$93,F144,D$93-SUM(E$100:E144))</f>
        <v>0</v>
      </c>
      <c r="E145" s="510">
        <f t="shared" si="29"/>
        <v>0</v>
      </c>
      <c r="F145" s="511">
        <f t="shared" si="23"/>
        <v>0</v>
      </c>
      <c r="G145" s="511">
        <f t="shared" si="24"/>
        <v>0</v>
      </c>
      <c r="H145" s="628">
        <f t="shared" si="21"/>
        <v>0</v>
      </c>
      <c r="I145" s="629">
        <f t="shared" si="22"/>
        <v>0</v>
      </c>
      <c r="J145" s="505">
        <f t="shared" si="25"/>
        <v>0</v>
      </c>
      <c r="K145" s="505"/>
      <c r="L145" s="513"/>
      <c r="M145" s="505">
        <f t="shared" si="26"/>
        <v>0</v>
      </c>
      <c r="N145" s="513"/>
      <c r="O145" s="505">
        <f t="shared" si="27"/>
        <v>0</v>
      </c>
      <c r="P145" s="505">
        <f t="shared" si="28"/>
        <v>0</v>
      </c>
    </row>
    <row r="146" spans="2:16" ht="12.5">
      <c r="B146" s="145" t="str">
        <f t="shared" si="13"/>
        <v/>
      </c>
      <c r="C146" s="496">
        <f>IF(D94="","-",+C145+1)</f>
        <v>2063</v>
      </c>
      <c r="D146" s="350">
        <f>IF(F145+SUM(E$100:E145)=D$93,F145,D$93-SUM(E$100:E145))</f>
        <v>0</v>
      </c>
      <c r="E146" s="510">
        <f t="shared" si="29"/>
        <v>0</v>
      </c>
      <c r="F146" s="511">
        <f t="shared" si="23"/>
        <v>0</v>
      </c>
      <c r="G146" s="511">
        <f t="shared" si="24"/>
        <v>0</v>
      </c>
      <c r="H146" s="628">
        <f t="shared" si="21"/>
        <v>0</v>
      </c>
      <c r="I146" s="629">
        <f t="shared" si="22"/>
        <v>0</v>
      </c>
      <c r="J146" s="505">
        <f t="shared" si="25"/>
        <v>0</v>
      </c>
      <c r="K146" s="505"/>
      <c r="L146" s="513"/>
      <c r="M146" s="505">
        <f t="shared" si="26"/>
        <v>0</v>
      </c>
      <c r="N146" s="513"/>
      <c r="O146" s="505">
        <f t="shared" si="27"/>
        <v>0</v>
      </c>
      <c r="P146" s="505">
        <f t="shared" si="28"/>
        <v>0</v>
      </c>
    </row>
    <row r="147" spans="2:16" ht="12.5">
      <c r="B147" s="145" t="str">
        <f t="shared" si="13"/>
        <v/>
      </c>
      <c r="C147" s="496">
        <f>IF(D94="","-",+C146+1)</f>
        <v>2064</v>
      </c>
      <c r="D147" s="350">
        <f>IF(F146+SUM(E$100:E146)=D$93,F146,D$93-SUM(E$100:E146))</f>
        <v>0</v>
      </c>
      <c r="E147" s="510">
        <f t="shared" si="29"/>
        <v>0</v>
      </c>
      <c r="F147" s="511">
        <f t="shared" si="23"/>
        <v>0</v>
      </c>
      <c r="G147" s="511">
        <f t="shared" si="24"/>
        <v>0</v>
      </c>
      <c r="H147" s="628">
        <f t="shared" si="21"/>
        <v>0</v>
      </c>
      <c r="I147" s="629">
        <f t="shared" si="22"/>
        <v>0</v>
      </c>
      <c r="J147" s="505">
        <f t="shared" si="25"/>
        <v>0</v>
      </c>
      <c r="K147" s="505"/>
      <c r="L147" s="513"/>
      <c r="M147" s="505">
        <f t="shared" si="26"/>
        <v>0</v>
      </c>
      <c r="N147" s="513"/>
      <c r="O147" s="505">
        <f t="shared" si="27"/>
        <v>0</v>
      </c>
      <c r="P147" s="505">
        <f t="shared" si="28"/>
        <v>0</v>
      </c>
    </row>
    <row r="148" spans="2:16" ht="12.5">
      <c r="B148" s="145" t="str">
        <f t="shared" si="13"/>
        <v/>
      </c>
      <c r="C148" s="496">
        <f>IF(D94="","-",+C147+1)</f>
        <v>2065</v>
      </c>
      <c r="D148" s="350">
        <f>IF(F147+SUM(E$100:E147)=D$93,F147,D$93-SUM(E$100:E147))</f>
        <v>0</v>
      </c>
      <c r="E148" s="510">
        <f t="shared" si="29"/>
        <v>0</v>
      </c>
      <c r="F148" s="511">
        <f t="shared" si="23"/>
        <v>0</v>
      </c>
      <c r="G148" s="511">
        <f t="shared" si="24"/>
        <v>0</v>
      </c>
      <c r="H148" s="628">
        <f t="shared" si="21"/>
        <v>0</v>
      </c>
      <c r="I148" s="629">
        <f t="shared" si="22"/>
        <v>0</v>
      </c>
      <c r="J148" s="505">
        <f t="shared" si="25"/>
        <v>0</v>
      </c>
      <c r="K148" s="505"/>
      <c r="L148" s="513"/>
      <c r="M148" s="505">
        <f t="shared" si="26"/>
        <v>0</v>
      </c>
      <c r="N148" s="513"/>
      <c r="O148" s="505">
        <f t="shared" si="27"/>
        <v>0</v>
      </c>
      <c r="P148" s="505">
        <f t="shared" si="28"/>
        <v>0</v>
      </c>
    </row>
    <row r="149" spans="2:16" ht="12.5">
      <c r="B149" s="145" t="str">
        <f t="shared" si="13"/>
        <v/>
      </c>
      <c r="C149" s="496">
        <f>IF(D94="","-",+C148+1)</f>
        <v>2066</v>
      </c>
      <c r="D149" s="350">
        <f>IF(F148+SUM(E$100:E148)=D$93,F148,D$93-SUM(E$100:E148))</f>
        <v>0</v>
      </c>
      <c r="E149" s="510">
        <f t="shared" si="29"/>
        <v>0</v>
      </c>
      <c r="F149" s="511">
        <f t="shared" si="23"/>
        <v>0</v>
      </c>
      <c r="G149" s="511">
        <f t="shared" si="24"/>
        <v>0</v>
      </c>
      <c r="H149" s="628">
        <f t="shared" si="21"/>
        <v>0</v>
      </c>
      <c r="I149" s="629">
        <f t="shared" si="22"/>
        <v>0</v>
      </c>
      <c r="J149" s="505">
        <f t="shared" si="25"/>
        <v>0</v>
      </c>
      <c r="K149" s="505"/>
      <c r="L149" s="513"/>
      <c r="M149" s="505">
        <f t="shared" si="26"/>
        <v>0</v>
      </c>
      <c r="N149" s="513"/>
      <c r="O149" s="505">
        <f t="shared" si="27"/>
        <v>0</v>
      </c>
      <c r="P149" s="505">
        <f t="shared" si="28"/>
        <v>0</v>
      </c>
    </row>
    <row r="150" spans="2:16" ht="12.5">
      <c r="B150" s="145" t="str">
        <f t="shared" si="13"/>
        <v/>
      </c>
      <c r="C150" s="496">
        <f>IF(D94="","-",+C149+1)</f>
        <v>2067</v>
      </c>
      <c r="D150" s="350">
        <f>IF(F149+SUM(E$100:E149)=D$93,F149,D$93-SUM(E$100:E149))</f>
        <v>0</v>
      </c>
      <c r="E150" s="510">
        <f t="shared" si="29"/>
        <v>0</v>
      </c>
      <c r="F150" s="511">
        <f t="shared" si="23"/>
        <v>0</v>
      </c>
      <c r="G150" s="511">
        <f t="shared" si="24"/>
        <v>0</v>
      </c>
      <c r="H150" s="628">
        <f t="shared" si="21"/>
        <v>0</v>
      </c>
      <c r="I150" s="629">
        <f t="shared" si="22"/>
        <v>0</v>
      </c>
      <c r="J150" s="505">
        <f t="shared" si="25"/>
        <v>0</v>
      </c>
      <c r="K150" s="505"/>
      <c r="L150" s="513"/>
      <c r="M150" s="505">
        <f t="shared" si="26"/>
        <v>0</v>
      </c>
      <c r="N150" s="513"/>
      <c r="O150" s="505">
        <f t="shared" si="27"/>
        <v>0</v>
      </c>
      <c r="P150" s="505">
        <f t="shared" si="28"/>
        <v>0</v>
      </c>
    </row>
    <row r="151" spans="2:16" ht="12.5">
      <c r="B151" s="145" t="str">
        <f t="shared" si="13"/>
        <v/>
      </c>
      <c r="C151" s="496">
        <f>IF(D94="","-",+C150+1)</f>
        <v>2068</v>
      </c>
      <c r="D151" s="350">
        <f>IF(F150+SUM(E$100:E150)=D$93,F150,D$93-SUM(E$100:E150))</f>
        <v>0</v>
      </c>
      <c r="E151" s="510">
        <f t="shared" si="29"/>
        <v>0</v>
      </c>
      <c r="F151" s="511">
        <f t="shared" si="23"/>
        <v>0</v>
      </c>
      <c r="G151" s="511">
        <f t="shared" si="24"/>
        <v>0</v>
      </c>
      <c r="H151" s="628">
        <f t="shared" si="21"/>
        <v>0</v>
      </c>
      <c r="I151" s="629">
        <f t="shared" si="22"/>
        <v>0</v>
      </c>
      <c r="J151" s="505">
        <f t="shared" si="25"/>
        <v>0</v>
      </c>
      <c r="K151" s="505"/>
      <c r="L151" s="513"/>
      <c r="M151" s="505">
        <f t="shared" si="26"/>
        <v>0</v>
      </c>
      <c r="N151" s="513"/>
      <c r="O151" s="505">
        <f t="shared" si="27"/>
        <v>0</v>
      </c>
      <c r="P151" s="505">
        <f t="shared" si="28"/>
        <v>0</v>
      </c>
    </row>
    <row r="152" spans="2:16" ht="12.5">
      <c r="B152" s="145" t="str">
        <f t="shared" si="13"/>
        <v/>
      </c>
      <c r="C152" s="496">
        <f>IF(D94="","-",+C151+1)</f>
        <v>2069</v>
      </c>
      <c r="D152" s="350">
        <f>IF(F151+SUM(E$100:E151)=D$93,F151,D$93-SUM(E$100:E151))</f>
        <v>0</v>
      </c>
      <c r="E152" s="510">
        <f t="shared" si="29"/>
        <v>0</v>
      </c>
      <c r="F152" s="511">
        <f t="shared" si="23"/>
        <v>0</v>
      </c>
      <c r="G152" s="511">
        <f t="shared" si="24"/>
        <v>0</v>
      </c>
      <c r="H152" s="628">
        <f t="shared" si="21"/>
        <v>0</v>
      </c>
      <c r="I152" s="629">
        <f t="shared" si="22"/>
        <v>0</v>
      </c>
      <c r="J152" s="505">
        <f t="shared" si="25"/>
        <v>0</v>
      </c>
      <c r="K152" s="505"/>
      <c r="L152" s="513"/>
      <c r="M152" s="505">
        <f t="shared" si="26"/>
        <v>0</v>
      </c>
      <c r="N152" s="513"/>
      <c r="O152" s="505">
        <f t="shared" si="27"/>
        <v>0</v>
      </c>
      <c r="P152" s="505">
        <f t="shared" si="28"/>
        <v>0</v>
      </c>
    </row>
    <row r="153" spans="2:16" ht="12.5">
      <c r="B153" s="145" t="str">
        <f t="shared" si="13"/>
        <v/>
      </c>
      <c r="C153" s="496">
        <f>IF(D94="","-",+C152+1)</f>
        <v>2070</v>
      </c>
      <c r="D153" s="350">
        <f>IF(F152+SUM(E$100:E152)=D$93,F152,D$93-SUM(E$100:E152))</f>
        <v>0</v>
      </c>
      <c r="E153" s="510">
        <f t="shared" si="29"/>
        <v>0</v>
      </c>
      <c r="F153" s="511">
        <f t="shared" si="23"/>
        <v>0</v>
      </c>
      <c r="G153" s="511">
        <f t="shared" si="24"/>
        <v>0</v>
      </c>
      <c r="H153" s="628">
        <f t="shared" si="21"/>
        <v>0</v>
      </c>
      <c r="I153" s="629">
        <f t="shared" si="22"/>
        <v>0</v>
      </c>
      <c r="J153" s="505">
        <f t="shared" si="25"/>
        <v>0</v>
      </c>
      <c r="K153" s="505"/>
      <c r="L153" s="513"/>
      <c r="M153" s="505">
        <f t="shared" si="26"/>
        <v>0</v>
      </c>
      <c r="N153" s="513"/>
      <c r="O153" s="505">
        <f t="shared" si="27"/>
        <v>0</v>
      </c>
      <c r="P153" s="505">
        <f t="shared" si="28"/>
        <v>0</v>
      </c>
    </row>
    <row r="154" spans="2:16" ht="12.5">
      <c r="B154" s="145" t="str">
        <f t="shared" si="13"/>
        <v/>
      </c>
      <c r="C154" s="496">
        <f>IF(D94="","-",+C153+1)</f>
        <v>2071</v>
      </c>
      <c r="D154" s="350">
        <f>IF(F153+SUM(E$100:E153)=D$93,F153,D$93-SUM(E$100:E153))</f>
        <v>0</v>
      </c>
      <c r="E154" s="510">
        <f t="shared" si="29"/>
        <v>0</v>
      </c>
      <c r="F154" s="511">
        <f t="shared" si="23"/>
        <v>0</v>
      </c>
      <c r="G154" s="511">
        <f t="shared" si="24"/>
        <v>0</v>
      </c>
      <c r="H154" s="628">
        <f t="shared" si="21"/>
        <v>0</v>
      </c>
      <c r="I154" s="629">
        <f t="shared" si="22"/>
        <v>0</v>
      </c>
      <c r="J154" s="505">
        <f t="shared" si="25"/>
        <v>0</v>
      </c>
      <c r="K154" s="505"/>
      <c r="L154" s="513"/>
      <c r="M154" s="505">
        <f t="shared" si="26"/>
        <v>0</v>
      </c>
      <c r="N154" s="513"/>
      <c r="O154" s="505">
        <f t="shared" si="27"/>
        <v>0</v>
      </c>
      <c r="P154" s="505">
        <f t="shared" si="28"/>
        <v>0</v>
      </c>
    </row>
    <row r="155" spans="2:16" ht="13" thickBot="1">
      <c r="B155" s="145" t="str">
        <f t="shared" si="13"/>
        <v/>
      </c>
      <c r="C155" s="525">
        <f>IF(D94="","-",+C154+1)</f>
        <v>2072</v>
      </c>
      <c r="D155" s="639">
        <f>IF(F154+SUM(E$100:E154)=D$93,F154,D$93-SUM(E$100:E154))</f>
        <v>0</v>
      </c>
      <c r="E155" s="527">
        <f t="shared" si="29"/>
        <v>0</v>
      </c>
      <c r="F155" s="528">
        <f t="shared" si="23"/>
        <v>0</v>
      </c>
      <c r="G155" s="528">
        <f t="shared" si="24"/>
        <v>0</v>
      </c>
      <c r="H155" s="624">
        <f t="shared" si="21"/>
        <v>0</v>
      </c>
      <c r="I155" s="625">
        <f t="shared" si="22"/>
        <v>0</v>
      </c>
      <c r="J155" s="532">
        <f t="shared" si="25"/>
        <v>0</v>
      </c>
      <c r="K155" s="505"/>
      <c r="L155" s="531"/>
      <c r="M155" s="532">
        <f t="shared" si="26"/>
        <v>0</v>
      </c>
      <c r="N155" s="531"/>
      <c r="O155" s="532">
        <f t="shared" si="27"/>
        <v>0</v>
      </c>
      <c r="P155" s="532">
        <f t="shared" si="28"/>
        <v>0</v>
      </c>
    </row>
    <row r="156" spans="2:16" ht="12.5">
      <c r="C156" s="350" t="s">
        <v>75</v>
      </c>
      <c r="D156" s="295"/>
      <c r="E156" s="295">
        <f>SUM(E100:E155)</f>
        <v>87569394.999999985</v>
      </c>
      <c r="F156" s="295"/>
      <c r="G156" s="295"/>
      <c r="H156" s="295">
        <f>SUM(H100:H155)</f>
        <v>249334526.24945873</v>
      </c>
      <c r="I156" s="295">
        <f>SUM(I100:I155)</f>
        <v>249334526.24945873</v>
      </c>
      <c r="J156" s="295">
        <f>SUM(J100:J155)</f>
        <v>0</v>
      </c>
      <c r="K156" s="295"/>
      <c r="L156" s="295"/>
      <c r="M156" s="295"/>
      <c r="N156" s="295"/>
      <c r="O156" s="295"/>
      <c r="P156" s="244"/>
    </row>
    <row r="157" spans="2:16" ht="12.5">
      <c r="C157" s="145" t="s">
        <v>90</v>
      </c>
      <c r="D157" s="293"/>
      <c r="E157" s="244"/>
      <c r="F157" s="244"/>
      <c r="G157" s="244"/>
      <c r="H157" s="244"/>
      <c r="I157" s="326"/>
      <c r="J157" s="326"/>
      <c r="K157" s="295"/>
      <c r="L157" s="326"/>
      <c r="M157" s="326"/>
      <c r="N157" s="326"/>
      <c r="O157" s="326"/>
      <c r="P157" s="244"/>
    </row>
    <row r="158" spans="2:16" ht="12.5">
      <c r="C158" s="575"/>
      <c r="D158" s="293"/>
      <c r="E158" s="244"/>
      <c r="F158" s="244"/>
      <c r="G158" s="244"/>
      <c r="H158" s="244"/>
      <c r="I158" s="326"/>
      <c r="J158" s="326"/>
      <c r="K158" s="295"/>
      <c r="L158" s="326"/>
      <c r="M158" s="326"/>
      <c r="N158" s="326"/>
      <c r="O158" s="326"/>
      <c r="P158" s="244"/>
    </row>
    <row r="159" spans="2:16" ht="13">
      <c r="C159" s="620" t="s">
        <v>130</v>
      </c>
      <c r="D159" s="293"/>
      <c r="E159" s="244"/>
      <c r="F159" s="244"/>
      <c r="G159" s="244"/>
      <c r="H159" s="244"/>
      <c r="I159" s="326"/>
      <c r="J159" s="326"/>
      <c r="K159" s="295"/>
      <c r="L159" s="326"/>
      <c r="M159" s="326"/>
      <c r="N159" s="326"/>
      <c r="O159" s="326"/>
      <c r="P159" s="244"/>
    </row>
    <row r="160" spans="2:16" ht="13">
      <c r="C160" s="455" t="s">
        <v>76</v>
      </c>
      <c r="D160" s="350"/>
      <c r="E160" s="350"/>
      <c r="F160" s="350"/>
      <c r="G160" s="350"/>
      <c r="H160" s="295"/>
      <c r="I160" s="295"/>
      <c r="J160" s="351"/>
      <c r="K160" s="351"/>
      <c r="L160" s="351"/>
      <c r="M160" s="351"/>
      <c r="N160" s="351"/>
      <c r="O160" s="351"/>
      <c r="P160" s="244"/>
    </row>
    <row r="161" spans="3:16" ht="13">
      <c r="C161" s="576" t="s">
        <v>77</v>
      </c>
      <c r="D161" s="350"/>
      <c r="E161" s="350"/>
      <c r="F161" s="350"/>
      <c r="G161" s="350"/>
      <c r="H161" s="295"/>
      <c r="I161" s="295"/>
      <c r="J161" s="351"/>
      <c r="K161" s="351"/>
      <c r="L161" s="351"/>
      <c r="M161" s="351"/>
      <c r="N161" s="351"/>
      <c r="O161" s="351"/>
      <c r="P161" s="244"/>
    </row>
    <row r="162" spans="3:16" ht="13">
      <c r="C162" s="576"/>
      <c r="D162" s="350"/>
      <c r="E162" s="350"/>
      <c r="F162" s="350"/>
      <c r="G162" s="350"/>
      <c r="H162" s="295"/>
      <c r="I162" s="295"/>
      <c r="J162" s="351"/>
      <c r="K162" s="351"/>
      <c r="L162" s="351"/>
      <c r="M162" s="351"/>
      <c r="N162" s="351"/>
      <c r="O162" s="351"/>
      <c r="P162" s="244"/>
    </row>
    <row r="163" spans="3:16" ht="17.5">
      <c r="C163" s="576"/>
      <c r="D163" s="350"/>
      <c r="E163" s="350"/>
      <c r="F163" s="350"/>
      <c r="G163" s="350"/>
      <c r="H163" s="295"/>
      <c r="I163" s="295"/>
      <c r="J163" s="351"/>
      <c r="K163" s="351"/>
      <c r="L163" s="351"/>
      <c r="M163" s="351"/>
      <c r="N163" s="351"/>
      <c r="P163" s="584" t="s">
        <v>129</v>
      </c>
    </row>
  </sheetData>
  <conditionalFormatting sqref="C17:C71 C73">
    <cfRule type="cellIs" dxfId="11" priority="2" stopIfTrue="1" operator="equal">
      <formula>$I$10</formula>
    </cfRule>
  </conditionalFormatting>
  <conditionalFormatting sqref="C100:C155">
    <cfRule type="cellIs" dxfId="10" priority="3" stopIfTrue="1" operator="equal">
      <formula>$J$93</formula>
    </cfRule>
  </conditionalFormatting>
  <conditionalFormatting sqref="C72">
    <cfRule type="cellIs" dxfId="9"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3"/>
  <sheetViews>
    <sheetView topLeftCell="F1" zoomScale="85" zoomScaleNormal="85" workbookViewId="0">
      <selection activeCell="D10" sqref="D10"/>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9.1796875" style="145" customWidth="1"/>
    <col min="18" max="22" width="8.7265625" style="145"/>
    <col min="23" max="23" width="9.1796875" style="145" customWidth="1"/>
    <col min="24" max="16384" width="8.7265625" style="145"/>
  </cols>
  <sheetData>
    <row r="1" spans="1:16" ht="20">
      <c r="A1" s="438" t="s">
        <v>189</v>
      </c>
      <c r="B1" s="244"/>
      <c r="C1" s="249"/>
      <c r="D1" s="293"/>
      <c r="E1" s="244"/>
      <c r="F1" s="340"/>
      <c r="G1" s="244"/>
      <c r="H1" s="326"/>
      <c r="J1" s="221"/>
      <c r="K1" s="439"/>
      <c r="L1" s="439"/>
      <c r="M1" s="439"/>
      <c r="P1" s="440" t="str">
        <f ca="1">"OKT Project "&amp;RIGHT(MID(CELL("filename",$A$1),FIND("]",CELL("filename",$A$1))+1,256),2)&amp;" of "&amp;COUNT('OKT.001:OKT.xyz - blank'!$P$3)-1</f>
        <v>OKT Project 18 of 19</v>
      </c>
    </row>
    <row r="2" spans="1:16" ht="17.5">
      <c r="B2" s="244"/>
      <c r="C2" s="244"/>
      <c r="D2" s="293"/>
      <c r="E2" s="244"/>
      <c r="F2" s="244"/>
      <c r="G2" s="244"/>
      <c r="H2" s="326"/>
      <c r="I2" s="244"/>
      <c r="J2" s="279"/>
      <c r="K2" s="244"/>
      <c r="L2" s="244"/>
      <c r="M2" s="244"/>
      <c r="N2" s="244"/>
      <c r="P2" s="442" t="s">
        <v>131</v>
      </c>
    </row>
    <row r="3" spans="1:16" ht="18">
      <c r="B3" s="234" t="s">
        <v>42</v>
      </c>
      <c r="C3" s="306" t="s">
        <v>43</v>
      </c>
      <c r="D3" s="293"/>
      <c r="E3" s="244"/>
      <c r="F3" s="244"/>
      <c r="G3" s="244"/>
      <c r="H3" s="326"/>
      <c r="I3" s="326"/>
      <c r="J3" s="295"/>
      <c r="K3" s="326"/>
      <c r="L3" s="326"/>
      <c r="M3" s="326"/>
      <c r="N3" s="326"/>
      <c r="O3" s="244"/>
      <c r="P3" s="578">
        <v>1</v>
      </c>
    </row>
    <row r="4" spans="1:16" ht="16" thickBot="1">
      <c r="C4" s="305"/>
      <c r="D4" s="293"/>
      <c r="E4" s="244"/>
      <c r="F4" s="244"/>
      <c r="G4" s="244"/>
      <c r="H4" s="326"/>
      <c r="I4" s="326"/>
      <c r="J4" s="295"/>
      <c r="K4" s="326"/>
      <c r="L4" s="326"/>
      <c r="M4" s="326"/>
      <c r="N4" s="326"/>
      <c r="O4" s="244"/>
      <c r="P4" s="244"/>
    </row>
    <row r="5" spans="1:16" ht="15.5">
      <c r="C5" s="444" t="s">
        <v>44</v>
      </c>
      <c r="D5" s="293"/>
      <c r="E5" s="244"/>
      <c r="F5" s="244"/>
      <c r="G5" s="445"/>
      <c r="H5" s="244" t="s">
        <v>45</v>
      </c>
      <c r="I5" s="244"/>
      <c r="J5" s="279"/>
      <c r="K5" s="446" t="s">
        <v>242</v>
      </c>
      <c r="L5" s="447"/>
      <c r="M5" s="448"/>
      <c r="N5" s="449">
        <f>VLOOKUP(I10,C17:I73,5)</f>
        <v>1134524.7126540036</v>
      </c>
      <c r="P5" s="244"/>
    </row>
    <row r="6" spans="1:16" ht="15.5">
      <c r="C6" s="236"/>
      <c r="D6" s="293"/>
      <c r="E6" s="244"/>
      <c r="F6" s="244"/>
      <c r="G6" s="244"/>
      <c r="H6" s="450"/>
      <c r="I6" s="450"/>
      <c r="J6" s="451"/>
      <c r="K6" s="452" t="s">
        <v>243</v>
      </c>
      <c r="L6" s="453"/>
      <c r="M6" s="279"/>
      <c r="N6" s="454">
        <f>VLOOKUP(I10,C17:I73,6)</f>
        <v>1134524.7126540036</v>
      </c>
      <c r="O6" s="244"/>
      <c r="P6" s="244"/>
    </row>
    <row r="7" spans="1:16" ht="13.5" thickBot="1">
      <c r="C7" s="455" t="s">
        <v>46</v>
      </c>
      <c r="D7" s="638" t="s">
        <v>264</v>
      </c>
      <c r="E7" s="244"/>
      <c r="F7" s="244"/>
      <c r="G7" s="244"/>
      <c r="H7" s="326"/>
      <c r="I7" s="326"/>
      <c r="J7" s="295"/>
      <c r="K7" s="457" t="s">
        <v>47</v>
      </c>
      <c r="L7" s="458"/>
      <c r="M7" s="458"/>
      <c r="N7" s="459">
        <f>+N6-N5</f>
        <v>0</v>
      </c>
      <c r="O7" s="244"/>
      <c r="P7" s="244"/>
    </row>
    <row r="8" spans="1:16" ht="13.5" thickBot="1">
      <c r="C8" s="460"/>
      <c r="D8" s="461" t="str">
        <f>IF(D10&lt;100000,"DOES NOT MEET SPP $100,000 MINIMUM INVESTMENT FOR REGIONAL BPU SHARING.","")</f>
        <v/>
      </c>
      <c r="E8" s="462"/>
      <c r="F8" s="462"/>
      <c r="G8" s="462"/>
      <c r="H8" s="462"/>
      <c r="I8" s="462"/>
      <c r="J8" s="463"/>
      <c r="K8" s="462"/>
      <c r="L8" s="462"/>
      <c r="M8" s="462"/>
      <c r="N8" s="462"/>
      <c r="O8" s="463"/>
      <c r="P8" s="249"/>
    </row>
    <row r="9" spans="1:16" ht="13.5" thickBot="1">
      <c r="C9" s="464" t="s">
        <v>48</v>
      </c>
      <c r="D9" s="465" t="s">
        <v>266</v>
      </c>
      <c r="E9" s="466"/>
      <c r="F9" s="466"/>
      <c r="G9" s="466"/>
      <c r="H9" s="466"/>
      <c r="I9" s="467"/>
      <c r="J9" s="468"/>
      <c r="O9" s="469"/>
      <c r="P9" s="279"/>
    </row>
    <row r="10" spans="1:16" ht="13">
      <c r="C10" s="470" t="s">
        <v>49</v>
      </c>
      <c r="D10" s="471">
        <v>8934664</v>
      </c>
      <c r="E10" s="300" t="s">
        <v>50</v>
      </c>
      <c r="F10" s="469"/>
      <c r="G10" s="409"/>
      <c r="H10" s="409"/>
      <c r="I10" s="472">
        <f>+OKT.WS.F.BPU.ATRR.Projected!R100</f>
        <v>2019</v>
      </c>
      <c r="J10" s="468"/>
      <c r="K10" s="295" t="s">
        <v>51</v>
      </c>
      <c r="O10" s="279"/>
      <c r="P10" s="279"/>
    </row>
    <row r="11" spans="1:16" ht="12.5">
      <c r="C11" s="473" t="s">
        <v>52</v>
      </c>
      <c r="D11" s="474">
        <v>2018</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row>
    <row r="12" spans="1:16" ht="12.5">
      <c r="C12" s="473" t="s">
        <v>54</v>
      </c>
      <c r="D12" s="471">
        <v>5</v>
      </c>
      <c r="E12" s="473" t="s">
        <v>55</v>
      </c>
      <c r="F12" s="409"/>
      <c r="G12" s="221"/>
      <c r="H12" s="221"/>
      <c r="I12" s="477">
        <f>OKT.WS.F.BPU.ATRR.Projected!$F$78</f>
        <v>0.11749102697326873</v>
      </c>
      <c r="J12" s="414"/>
      <c r="K12" s="145" t="s">
        <v>56</v>
      </c>
      <c r="O12" s="279"/>
      <c r="P12" s="279"/>
    </row>
    <row r="13" spans="1:16" ht="12.5">
      <c r="C13" s="473" t="s">
        <v>57</v>
      </c>
      <c r="D13" s="475">
        <f>+OKT.WS.F.BPU.ATRR.Projected!F$89</f>
        <v>41</v>
      </c>
      <c r="E13" s="473" t="s">
        <v>58</v>
      </c>
      <c r="F13" s="409"/>
      <c r="G13" s="221"/>
      <c r="H13" s="221"/>
      <c r="I13" s="477">
        <f>IF(G5="",I12,OKT.WS.F.BPU.ATRR.Projected!$F$77)</f>
        <v>0.11749102697326873</v>
      </c>
      <c r="J13" s="414"/>
      <c r="K13" s="295" t="s">
        <v>59</v>
      </c>
      <c r="L13" s="292"/>
      <c r="M13" s="292"/>
      <c r="N13" s="292"/>
      <c r="O13" s="279"/>
      <c r="P13" s="279"/>
    </row>
    <row r="14" spans="1:16" ht="13" thickBot="1">
      <c r="C14" s="473" t="s">
        <v>60</v>
      </c>
      <c r="D14" s="474" t="s">
        <v>61</v>
      </c>
      <c r="E14" s="279" t="s">
        <v>62</v>
      </c>
      <c r="F14" s="409"/>
      <c r="G14" s="221"/>
      <c r="H14" s="221"/>
      <c r="I14" s="478">
        <f>IF(D10=0,0,D10/D13)</f>
        <v>217918.63414634147</v>
      </c>
      <c r="J14" s="295"/>
      <c r="K14" s="295"/>
      <c r="L14" s="295"/>
      <c r="M14" s="295"/>
      <c r="N14" s="295"/>
      <c r="O14" s="279"/>
      <c r="P14" s="279"/>
    </row>
    <row r="15" spans="1:16"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row>
    <row r="16" spans="1:16"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row>
    <row r="17" spans="2:16" ht="12.5">
      <c r="B17" s="145" t="str">
        <f t="shared" ref="B17:B71" si="0">IF(D17=F16,"","IU")</f>
        <v>IU</v>
      </c>
      <c r="C17" s="496">
        <f>IF(D11= "","-",D11)</f>
        <v>2018</v>
      </c>
      <c r="D17" s="615">
        <v>0</v>
      </c>
      <c r="E17" s="614">
        <v>0</v>
      </c>
      <c r="F17" s="615">
        <v>8591402</v>
      </c>
      <c r="G17" s="614">
        <v>472269.24918780552</v>
      </c>
      <c r="H17" s="618">
        <v>472269.24918780552</v>
      </c>
      <c r="I17" s="501">
        <f t="shared" ref="I17:I71" si="1">H17-G17</f>
        <v>0</v>
      </c>
      <c r="J17" s="501"/>
      <c r="K17" s="502">
        <f>+G17</f>
        <v>472269.24918780552</v>
      </c>
      <c r="L17" s="504">
        <f t="shared" ref="L17:L71" si="2">IF(K17&lt;&gt;0,+G17-K17,0)</f>
        <v>0</v>
      </c>
      <c r="M17" s="502">
        <f>+H17</f>
        <v>472269.24918780552</v>
      </c>
      <c r="N17" s="504">
        <f t="shared" ref="N17:N71" si="3">IF(M17&lt;&gt;0,+H17-M17,0)</f>
        <v>0</v>
      </c>
      <c r="O17" s="505">
        <f t="shared" ref="O17:O71" si="4">+N17-L17</f>
        <v>0</v>
      </c>
      <c r="P17" s="279"/>
    </row>
    <row r="18" spans="2:16" ht="12.5">
      <c r="B18" s="145" t="str">
        <f t="shared" si="0"/>
        <v/>
      </c>
      <c r="C18" s="496">
        <f>IF(D11="","-",+C17+1)</f>
        <v>2019</v>
      </c>
      <c r="D18" s="615">
        <v>8591402</v>
      </c>
      <c r="E18" s="614">
        <v>254811.07676479843</v>
      </c>
      <c r="F18" s="615">
        <v>8336590.9232352013</v>
      </c>
      <c r="G18" s="614">
        <v>1134524.7126540036</v>
      </c>
      <c r="H18" s="618">
        <v>1134524.7126540036</v>
      </c>
      <c r="I18" s="501">
        <f t="shared" si="1"/>
        <v>0</v>
      </c>
      <c r="J18" s="501"/>
      <c r="K18" s="593">
        <f>+G18</f>
        <v>1134524.7126540036</v>
      </c>
      <c r="L18" s="597">
        <f t="shared" ref="L18:L19" si="5">IF(K18&lt;&gt;0,+G18-K18,0)</f>
        <v>0</v>
      </c>
      <c r="M18" s="593">
        <f>+H18</f>
        <v>1134524.7126540036</v>
      </c>
      <c r="N18" s="505">
        <f t="shared" si="3"/>
        <v>0</v>
      </c>
      <c r="O18" s="505">
        <f t="shared" si="4"/>
        <v>0</v>
      </c>
      <c r="P18" s="279"/>
    </row>
    <row r="19" spans="2:16" ht="12.5">
      <c r="B19" s="145" t="str">
        <f t="shared" si="0"/>
        <v>IU</v>
      </c>
      <c r="C19" s="496">
        <f>IF(D11="","-",+C18+1)</f>
        <v>2020</v>
      </c>
      <c r="D19" s="509">
        <f>IF(F18+SUM(E$17:E18)=D$10,F18,D$10-SUM(E$17:E18))</f>
        <v>8679852.9232352022</v>
      </c>
      <c r="E19" s="510">
        <f t="shared" ref="E19:E20" si="6">IF(+I$14&lt;F18,I$14,D19)</f>
        <v>217918.63414634147</v>
      </c>
      <c r="F19" s="511">
        <f t="shared" ref="F19:F20" si="7">+D19-E19</f>
        <v>8461934.2890888602</v>
      </c>
      <c r="G19" s="512">
        <f t="shared" ref="G19:G20" si="8">(D19+F19)/2*I$12+E19</f>
        <v>1224921.726012941</v>
      </c>
      <c r="H19" s="478">
        <f t="shared" ref="H19:H20" si="9">+(D19+F19)/2*I$13+E19</f>
        <v>1224921.726012941</v>
      </c>
      <c r="I19" s="501">
        <f t="shared" si="1"/>
        <v>0</v>
      </c>
      <c r="J19" s="501"/>
      <c r="K19" s="513"/>
      <c r="L19" s="505">
        <f t="shared" si="5"/>
        <v>0</v>
      </c>
      <c r="M19" s="513"/>
      <c r="N19" s="505">
        <f t="shared" si="3"/>
        <v>0</v>
      </c>
      <c r="O19" s="505">
        <f t="shared" si="4"/>
        <v>0</v>
      </c>
      <c r="P19" s="279"/>
    </row>
    <row r="20" spans="2:16" ht="12.5">
      <c r="B20" s="145" t="str">
        <f t="shared" si="0"/>
        <v/>
      </c>
      <c r="C20" s="496">
        <f>IF(D11="","-",+C19+1)</f>
        <v>2021</v>
      </c>
      <c r="D20" s="509">
        <f>IF(F19+SUM(E$17:E19)=D$10,F19,D$10-SUM(E$17:E19))</f>
        <v>8461934.2890888602</v>
      </c>
      <c r="E20" s="510">
        <f t="shared" si="6"/>
        <v>217918.63414634147</v>
      </c>
      <c r="F20" s="511">
        <f t="shared" si="7"/>
        <v>8244015.654942519</v>
      </c>
      <c r="G20" s="512">
        <f t="shared" si="8"/>
        <v>1199318.2418904756</v>
      </c>
      <c r="H20" s="478">
        <f t="shared" si="9"/>
        <v>1199318.2418904756</v>
      </c>
      <c r="I20" s="501">
        <f t="shared" si="1"/>
        <v>0</v>
      </c>
      <c r="J20" s="501"/>
      <c r="K20" s="513"/>
      <c r="L20" s="505">
        <f t="shared" ref="L20" si="10">IF(K20&lt;&gt;0,+G20-K20,0)</f>
        <v>0</v>
      </c>
      <c r="M20" s="513"/>
      <c r="N20" s="505">
        <f t="shared" ref="N20" si="11">IF(M20&lt;&gt;0,+H20-M20,0)</f>
        <v>0</v>
      </c>
      <c r="O20" s="505">
        <f t="shared" ref="O20" si="12">+N20-L20</f>
        <v>0</v>
      </c>
      <c r="P20" s="279"/>
    </row>
    <row r="21" spans="2:16" ht="12.5">
      <c r="B21" s="145" t="str">
        <f t="shared" si="0"/>
        <v/>
      </c>
      <c r="C21" s="496">
        <f>IF(D11="","-",+C20+1)</f>
        <v>2022</v>
      </c>
      <c r="D21" s="509">
        <f>IF(F20+SUM(E$17:E20)=D$10,F20,D$10-SUM(E$17:E20))</f>
        <v>8244015.654942519</v>
      </c>
      <c r="E21" s="510">
        <f t="shared" ref="E21:E71" si="13">IF(+I$14&lt;F20,I$14,D21)</f>
        <v>217918.63414634147</v>
      </c>
      <c r="F21" s="511">
        <f t="shared" ref="F21:F71" si="14">+D21-E21</f>
        <v>8026097.0207961779</v>
      </c>
      <c r="G21" s="512">
        <f t="shared" ref="G21:G71" si="15">(D21+F21)/2*I$12+E21</f>
        <v>1173714.7577680098</v>
      </c>
      <c r="H21" s="478">
        <f t="shared" ref="H21:H71" si="16">+(D21+F21)/2*I$13+E21</f>
        <v>1173714.7577680098</v>
      </c>
      <c r="I21" s="501">
        <f t="shared" si="1"/>
        <v>0</v>
      </c>
      <c r="J21" s="501"/>
      <c r="K21" s="513"/>
      <c r="L21" s="505">
        <f t="shared" si="2"/>
        <v>0</v>
      </c>
      <c r="M21" s="513"/>
      <c r="N21" s="505">
        <f t="shared" si="3"/>
        <v>0</v>
      </c>
      <c r="O21" s="505">
        <f t="shared" si="4"/>
        <v>0</v>
      </c>
      <c r="P21" s="279"/>
    </row>
    <row r="22" spans="2:16" ht="12.5">
      <c r="B22" s="145" t="str">
        <f t="shared" si="0"/>
        <v/>
      </c>
      <c r="C22" s="496">
        <f>IF(D11="","-",+C21+1)</f>
        <v>2023</v>
      </c>
      <c r="D22" s="509">
        <f>IF(F21+SUM(E$17:E21)=D$10,F21,D$10-SUM(E$17:E21))</f>
        <v>8026097.0207961779</v>
      </c>
      <c r="E22" s="510">
        <f t="shared" si="13"/>
        <v>217918.63414634147</v>
      </c>
      <c r="F22" s="511">
        <f t="shared" si="14"/>
        <v>7808178.3866498368</v>
      </c>
      <c r="G22" s="512">
        <f t="shared" si="15"/>
        <v>1148111.2736455442</v>
      </c>
      <c r="H22" s="478">
        <f t="shared" si="16"/>
        <v>1148111.2736455442</v>
      </c>
      <c r="I22" s="501">
        <f t="shared" si="1"/>
        <v>0</v>
      </c>
      <c r="J22" s="501"/>
      <c r="K22" s="513"/>
      <c r="L22" s="505">
        <f t="shared" si="2"/>
        <v>0</v>
      </c>
      <c r="M22" s="513"/>
      <c r="N22" s="505">
        <f t="shared" si="3"/>
        <v>0</v>
      </c>
      <c r="O22" s="505">
        <f t="shared" si="4"/>
        <v>0</v>
      </c>
      <c r="P22" s="279"/>
    </row>
    <row r="23" spans="2:16" ht="12.5">
      <c r="B23" s="145" t="str">
        <f t="shared" si="0"/>
        <v/>
      </c>
      <c r="C23" s="496">
        <f>IF(D11="","-",+C22+1)</f>
        <v>2024</v>
      </c>
      <c r="D23" s="509">
        <f>IF(F22+SUM(E$17:E22)=D$10,F22,D$10-SUM(E$17:E22))</f>
        <v>7808178.3866498368</v>
      </c>
      <c r="E23" s="510">
        <f t="shared" si="13"/>
        <v>217918.63414634147</v>
      </c>
      <c r="F23" s="511">
        <f t="shared" si="14"/>
        <v>7590259.7525034957</v>
      </c>
      <c r="G23" s="512">
        <f t="shared" si="15"/>
        <v>1122507.7895230786</v>
      </c>
      <c r="H23" s="478">
        <f t="shared" si="16"/>
        <v>1122507.7895230786</v>
      </c>
      <c r="I23" s="501">
        <f t="shared" si="1"/>
        <v>0</v>
      </c>
      <c r="J23" s="501"/>
      <c r="K23" s="513"/>
      <c r="L23" s="505">
        <f t="shared" si="2"/>
        <v>0</v>
      </c>
      <c r="M23" s="513"/>
      <c r="N23" s="505">
        <f t="shared" si="3"/>
        <v>0</v>
      </c>
      <c r="O23" s="505">
        <f t="shared" si="4"/>
        <v>0</v>
      </c>
      <c r="P23" s="279"/>
    </row>
    <row r="24" spans="2:16" ht="12.5">
      <c r="B24" s="145" t="str">
        <f t="shared" si="0"/>
        <v/>
      </c>
      <c r="C24" s="496">
        <f>IF(D11="","-",+C23+1)</f>
        <v>2025</v>
      </c>
      <c r="D24" s="509">
        <f>IF(F23+SUM(E$17:E23)=D$10,F23,D$10-SUM(E$17:E23))</f>
        <v>7590259.7525034957</v>
      </c>
      <c r="E24" s="510">
        <f t="shared" si="13"/>
        <v>217918.63414634147</v>
      </c>
      <c r="F24" s="511">
        <f t="shared" si="14"/>
        <v>7372341.1183571545</v>
      </c>
      <c r="G24" s="512">
        <f t="shared" si="15"/>
        <v>1096904.3054006128</v>
      </c>
      <c r="H24" s="478">
        <f t="shared" si="16"/>
        <v>1096904.3054006128</v>
      </c>
      <c r="I24" s="501">
        <f t="shared" si="1"/>
        <v>0</v>
      </c>
      <c r="J24" s="501"/>
      <c r="K24" s="513"/>
      <c r="L24" s="505">
        <f t="shared" si="2"/>
        <v>0</v>
      </c>
      <c r="M24" s="513"/>
      <c r="N24" s="505">
        <f t="shared" si="3"/>
        <v>0</v>
      </c>
      <c r="O24" s="505">
        <f t="shared" si="4"/>
        <v>0</v>
      </c>
      <c r="P24" s="279"/>
    </row>
    <row r="25" spans="2:16" ht="12.5">
      <c r="B25" s="145" t="str">
        <f t="shared" si="0"/>
        <v/>
      </c>
      <c r="C25" s="496">
        <f>IF(D11="","-",+C24+1)</f>
        <v>2026</v>
      </c>
      <c r="D25" s="509">
        <f>IF(F24+SUM(E$17:E24)=D$10,F24,D$10-SUM(E$17:E24))</f>
        <v>7372341.1183571545</v>
      </c>
      <c r="E25" s="510">
        <f t="shared" si="13"/>
        <v>217918.63414634147</v>
      </c>
      <c r="F25" s="511">
        <f t="shared" si="14"/>
        <v>7154422.4842108134</v>
      </c>
      <c r="G25" s="512">
        <f t="shared" si="15"/>
        <v>1071300.8212781472</v>
      </c>
      <c r="H25" s="478">
        <f t="shared" si="16"/>
        <v>1071300.8212781472</v>
      </c>
      <c r="I25" s="501">
        <f t="shared" si="1"/>
        <v>0</v>
      </c>
      <c r="J25" s="501"/>
      <c r="K25" s="513"/>
      <c r="L25" s="505">
        <f t="shared" si="2"/>
        <v>0</v>
      </c>
      <c r="M25" s="513"/>
      <c r="N25" s="505">
        <f t="shared" si="3"/>
        <v>0</v>
      </c>
      <c r="O25" s="505">
        <f t="shared" si="4"/>
        <v>0</v>
      </c>
      <c r="P25" s="279"/>
    </row>
    <row r="26" spans="2:16" ht="12.5">
      <c r="B26" s="145" t="str">
        <f t="shared" si="0"/>
        <v/>
      </c>
      <c r="C26" s="496">
        <f>IF(D11="","-",+C25+1)</f>
        <v>2027</v>
      </c>
      <c r="D26" s="509">
        <f>IF(F25+SUM(E$17:E25)=D$10,F25,D$10-SUM(E$17:E25))</f>
        <v>7154422.4842108134</v>
      </c>
      <c r="E26" s="510">
        <f t="shared" si="13"/>
        <v>217918.63414634147</v>
      </c>
      <c r="F26" s="511">
        <f t="shared" si="14"/>
        <v>6936503.8500644723</v>
      </c>
      <c r="G26" s="512">
        <f t="shared" si="15"/>
        <v>1045697.3371556817</v>
      </c>
      <c r="H26" s="478">
        <f t="shared" si="16"/>
        <v>1045697.3371556817</v>
      </c>
      <c r="I26" s="501">
        <f t="shared" si="1"/>
        <v>0</v>
      </c>
      <c r="J26" s="501"/>
      <c r="K26" s="513"/>
      <c r="L26" s="505">
        <f t="shared" si="2"/>
        <v>0</v>
      </c>
      <c r="M26" s="513"/>
      <c r="N26" s="505">
        <f t="shared" si="3"/>
        <v>0</v>
      </c>
      <c r="O26" s="505">
        <f t="shared" si="4"/>
        <v>0</v>
      </c>
      <c r="P26" s="279"/>
    </row>
    <row r="27" spans="2:16" ht="12.5">
      <c r="B27" s="145" t="str">
        <f t="shared" si="0"/>
        <v/>
      </c>
      <c r="C27" s="496">
        <f>IF(D11="","-",+C26+1)</f>
        <v>2028</v>
      </c>
      <c r="D27" s="509">
        <f>IF(F26+SUM(E$17:E26)=D$10,F26,D$10-SUM(E$17:E26))</f>
        <v>6936503.8500644723</v>
      </c>
      <c r="E27" s="510">
        <f t="shared" si="13"/>
        <v>217918.63414634147</v>
      </c>
      <c r="F27" s="511">
        <f t="shared" si="14"/>
        <v>6718585.2159181312</v>
      </c>
      <c r="G27" s="512">
        <f t="shared" si="15"/>
        <v>1020093.8530332159</v>
      </c>
      <c r="H27" s="478">
        <f t="shared" si="16"/>
        <v>1020093.8530332159</v>
      </c>
      <c r="I27" s="501">
        <f t="shared" si="1"/>
        <v>0</v>
      </c>
      <c r="J27" s="501"/>
      <c r="K27" s="513"/>
      <c r="L27" s="505">
        <f t="shared" si="2"/>
        <v>0</v>
      </c>
      <c r="M27" s="513"/>
      <c r="N27" s="505">
        <f t="shared" si="3"/>
        <v>0</v>
      </c>
      <c r="O27" s="505">
        <f t="shared" si="4"/>
        <v>0</v>
      </c>
      <c r="P27" s="279"/>
    </row>
    <row r="28" spans="2:16" ht="12.5">
      <c r="B28" s="145" t="str">
        <f t="shared" si="0"/>
        <v/>
      </c>
      <c r="C28" s="496">
        <f>IF(D11="","-",+C27+1)</f>
        <v>2029</v>
      </c>
      <c r="D28" s="509">
        <f>IF(F27+SUM(E$17:E27)=D$10,F27,D$10-SUM(E$17:E27))</f>
        <v>6718585.2159181312</v>
      </c>
      <c r="E28" s="510">
        <f t="shared" si="13"/>
        <v>217918.63414634147</v>
      </c>
      <c r="F28" s="511">
        <f t="shared" si="14"/>
        <v>6500666.58177179</v>
      </c>
      <c r="G28" s="512">
        <f t="shared" si="15"/>
        <v>994490.36891075037</v>
      </c>
      <c r="H28" s="478">
        <f t="shared" si="16"/>
        <v>994490.36891075037</v>
      </c>
      <c r="I28" s="501">
        <f t="shared" si="1"/>
        <v>0</v>
      </c>
      <c r="J28" s="501"/>
      <c r="K28" s="513"/>
      <c r="L28" s="505">
        <f t="shared" si="2"/>
        <v>0</v>
      </c>
      <c r="M28" s="513"/>
      <c r="N28" s="505">
        <f t="shared" si="3"/>
        <v>0</v>
      </c>
      <c r="O28" s="505">
        <f t="shared" si="4"/>
        <v>0</v>
      </c>
      <c r="P28" s="279"/>
    </row>
    <row r="29" spans="2:16" ht="12.5">
      <c r="B29" s="145" t="str">
        <f t="shared" si="0"/>
        <v/>
      </c>
      <c r="C29" s="496">
        <f>IF(D11="","-",+C28+1)</f>
        <v>2030</v>
      </c>
      <c r="D29" s="509">
        <f>IF(F28+SUM(E$17:E28)=D$10,F28,D$10-SUM(E$17:E28))</f>
        <v>6500666.58177179</v>
      </c>
      <c r="E29" s="510">
        <f t="shared" si="13"/>
        <v>217918.63414634147</v>
      </c>
      <c r="F29" s="511">
        <f t="shared" si="14"/>
        <v>6282747.9476254489</v>
      </c>
      <c r="G29" s="512">
        <f t="shared" si="15"/>
        <v>968886.88478828454</v>
      </c>
      <c r="H29" s="478">
        <f t="shared" si="16"/>
        <v>968886.88478828454</v>
      </c>
      <c r="I29" s="501">
        <f t="shared" si="1"/>
        <v>0</v>
      </c>
      <c r="J29" s="501"/>
      <c r="K29" s="513"/>
      <c r="L29" s="505">
        <f t="shared" si="2"/>
        <v>0</v>
      </c>
      <c r="M29" s="513"/>
      <c r="N29" s="505">
        <f t="shared" si="3"/>
        <v>0</v>
      </c>
      <c r="O29" s="505">
        <f t="shared" si="4"/>
        <v>0</v>
      </c>
      <c r="P29" s="279"/>
    </row>
    <row r="30" spans="2:16" ht="12.5">
      <c r="B30" s="145" t="str">
        <f t="shared" si="0"/>
        <v/>
      </c>
      <c r="C30" s="496">
        <f>IF(D11="","-",+C29+1)</f>
        <v>2031</v>
      </c>
      <c r="D30" s="509">
        <f>IF(F29+SUM(E$17:E29)=D$10,F29,D$10-SUM(E$17:E29))</f>
        <v>6282747.9476254489</v>
      </c>
      <c r="E30" s="510">
        <f t="shared" si="13"/>
        <v>217918.63414634147</v>
      </c>
      <c r="F30" s="511">
        <f t="shared" si="14"/>
        <v>6064829.3134791078</v>
      </c>
      <c r="G30" s="512">
        <f t="shared" si="15"/>
        <v>943283.40066581906</v>
      </c>
      <c r="H30" s="478">
        <f t="shared" si="16"/>
        <v>943283.40066581906</v>
      </c>
      <c r="I30" s="501">
        <f t="shared" si="1"/>
        <v>0</v>
      </c>
      <c r="J30" s="501"/>
      <c r="K30" s="513"/>
      <c r="L30" s="505">
        <f t="shared" si="2"/>
        <v>0</v>
      </c>
      <c r="M30" s="513"/>
      <c r="N30" s="505">
        <f t="shared" si="3"/>
        <v>0</v>
      </c>
      <c r="O30" s="505">
        <f t="shared" si="4"/>
        <v>0</v>
      </c>
      <c r="P30" s="279"/>
    </row>
    <row r="31" spans="2:16" ht="12.5">
      <c r="B31" s="145" t="str">
        <f t="shared" si="0"/>
        <v/>
      </c>
      <c r="C31" s="496">
        <f>IF(D11="","-",+C30+1)</f>
        <v>2032</v>
      </c>
      <c r="D31" s="509">
        <f>IF(F30+SUM(E$17:E30)=D$10,F30,D$10-SUM(E$17:E30))</f>
        <v>6064829.3134791078</v>
      </c>
      <c r="E31" s="510">
        <f t="shared" si="13"/>
        <v>217918.63414634147</v>
      </c>
      <c r="F31" s="511">
        <f t="shared" si="14"/>
        <v>5846910.6793327667</v>
      </c>
      <c r="G31" s="512">
        <f t="shared" si="15"/>
        <v>917679.91654335335</v>
      </c>
      <c r="H31" s="478">
        <f t="shared" si="16"/>
        <v>917679.91654335335</v>
      </c>
      <c r="I31" s="501">
        <f t="shared" si="1"/>
        <v>0</v>
      </c>
      <c r="J31" s="501"/>
      <c r="K31" s="513"/>
      <c r="L31" s="505">
        <f t="shared" si="2"/>
        <v>0</v>
      </c>
      <c r="M31" s="513"/>
      <c r="N31" s="505">
        <f t="shared" si="3"/>
        <v>0</v>
      </c>
      <c r="O31" s="505">
        <f t="shared" si="4"/>
        <v>0</v>
      </c>
      <c r="P31" s="279"/>
    </row>
    <row r="32" spans="2:16" ht="12.5">
      <c r="B32" s="145" t="str">
        <f t="shared" si="0"/>
        <v>IU</v>
      </c>
      <c r="C32" s="496">
        <f>IF(D11="","-",+C31+1)</f>
        <v>2033</v>
      </c>
      <c r="D32" s="509">
        <f>IF(F31+SUM(E$17:E31)=D$10,F31,D$10-SUM(E$17:E31))</f>
        <v>5846910.6793327611</v>
      </c>
      <c r="E32" s="510">
        <f t="shared" si="13"/>
        <v>217918.63414634147</v>
      </c>
      <c r="F32" s="511">
        <f t="shared" si="14"/>
        <v>5628992.04518642</v>
      </c>
      <c r="G32" s="512">
        <f t="shared" si="15"/>
        <v>892076.43242088717</v>
      </c>
      <c r="H32" s="478">
        <f t="shared" si="16"/>
        <v>892076.43242088717</v>
      </c>
      <c r="I32" s="501">
        <f t="shared" si="1"/>
        <v>0</v>
      </c>
      <c r="J32" s="501"/>
      <c r="K32" s="513"/>
      <c r="L32" s="505">
        <f t="shared" si="2"/>
        <v>0</v>
      </c>
      <c r="M32" s="513"/>
      <c r="N32" s="505">
        <f t="shared" si="3"/>
        <v>0</v>
      </c>
      <c r="O32" s="505">
        <f t="shared" si="4"/>
        <v>0</v>
      </c>
      <c r="P32" s="279"/>
    </row>
    <row r="33" spans="2:16" ht="12.5">
      <c r="B33" s="145" t="str">
        <f t="shared" si="0"/>
        <v/>
      </c>
      <c r="C33" s="496">
        <f>IF(D11="","-",+C32+1)</f>
        <v>2034</v>
      </c>
      <c r="D33" s="509">
        <f>IF(F32+SUM(E$17:E32)=D$10,F32,D$10-SUM(E$17:E32))</f>
        <v>5628992.04518642</v>
      </c>
      <c r="E33" s="510">
        <f t="shared" si="13"/>
        <v>217918.63414634147</v>
      </c>
      <c r="F33" s="511">
        <f t="shared" si="14"/>
        <v>5411073.4110400788</v>
      </c>
      <c r="G33" s="512">
        <f t="shared" si="15"/>
        <v>866472.94829842134</v>
      </c>
      <c r="H33" s="478">
        <f t="shared" si="16"/>
        <v>866472.94829842134</v>
      </c>
      <c r="I33" s="501">
        <f t="shared" si="1"/>
        <v>0</v>
      </c>
      <c r="J33" s="501"/>
      <c r="K33" s="513"/>
      <c r="L33" s="505">
        <f t="shared" si="2"/>
        <v>0</v>
      </c>
      <c r="M33" s="513"/>
      <c r="N33" s="505">
        <f t="shared" si="3"/>
        <v>0</v>
      </c>
      <c r="O33" s="505">
        <f t="shared" si="4"/>
        <v>0</v>
      </c>
      <c r="P33" s="279"/>
    </row>
    <row r="34" spans="2:16" ht="12.5">
      <c r="B34" s="145" t="str">
        <f t="shared" si="0"/>
        <v/>
      </c>
      <c r="C34" s="496">
        <f>IF(D11="","-",+C33+1)</f>
        <v>2035</v>
      </c>
      <c r="D34" s="509">
        <f>IF(F33+SUM(E$17:E33)=D$10,F33,D$10-SUM(E$17:E33))</f>
        <v>5411073.4110400788</v>
      </c>
      <c r="E34" s="510">
        <f t="shared" si="13"/>
        <v>217918.63414634147</v>
      </c>
      <c r="F34" s="511">
        <f t="shared" si="14"/>
        <v>5193154.7768937377</v>
      </c>
      <c r="G34" s="512">
        <f t="shared" si="15"/>
        <v>840869.46417595586</v>
      </c>
      <c r="H34" s="478">
        <f t="shared" si="16"/>
        <v>840869.46417595586</v>
      </c>
      <c r="I34" s="501">
        <f t="shared" si="1"/>
        <v>0</v>
      </c>
      <c r="J34" s="501"/>
      <c r="K34" s="513"/>
      <c r="L34" s="505">
        <f t="shared" si="2"/>
        <v>0</v>
      </c>
      <c r="M34" s="513"/>
      <c r="N34" s="505">
        <f t="shared" si="3"/>
        <v>0</v>
      </c>
      <c r="O34" s="505">
        <f t="shared" si="4"/>
        <v>0</v>
      </c>
      <c r="P34" s="279"/>
    </row>
    <row r="35" spans="2:16" ht="12.5">
      <c r="B35" s="145" t="str">
        <f t="shared" si="0"/>
        <v/>
      </c>
      <c r="C35" s="496">
        <f>IF(D11="","-",+C34+1)</f>
        <v>2036</v>
      </c>
      <c r="D35" s="509">
        <f>IF(F34+SUM(E$17:E34)=D$10,F34,D$10-SUM(E$17:E34))</f>
        <v>5193154.7768937377</v>
      </c>
      <c r="E35" s="510">
        <f t="shared" si="13"/>
        <v>217918.63414634147</v>
      </c>
      <c r="F35" s="511">
        <f t="shared" si="14"/>
        <v>4975236.1427473966</v>
      </c>
      <c r="G35" s="512">
        <f t="shared" si="15"/>
        <v>815265.98005349003</v>
      </c>
      <c r="H35" s="478">
        <f t="shared" si="16"/>
        <v>815265.98005349003</v>
      </c>
      <c r="I35" s="501">
        <f t="shared" si="1"/>
        <v>0</v>
      </c>
      <c r="J35" s="501"/>
      <c r="K35" s="513"/>
      <c r="L35" s="505">
        <f t="shared" si="2"/>
        <v>0</v>
      </c>
      <c r="M35" s="513"/>
      <c r="N35" s="505">
        <f t="shared" si="3"/>
        <v>0</v>
      </c>
      <c r="O35" s="505">
        <f t="shared" si="4"/>
        <v>0</v>
      </c>
      <c r="P35" s="279"/>
    </row>
    <row r="36" spans="2:16" ht="12.5">
      <c r="B36" s="145" t="str">
        <f t="shared" si="0"/>
        <v/>
      </c>
      <c r="C36" s="496">
        <f>IF(D11="","-",+C35+1)</f>
        <v>2037</v>
      </c>
      <c r="D36" s="509">
        <f>IF(F35+SUM(E$17:E35)=D$10,F35,D$10-SUM(E$17:E35))</f>
        <v>4975236.1427473966</v>
      </c>
      <c r="E36" s="510">
        <f t="shared" si="13"/>
        <v>217918.63414634147</v>
      </c>
      <c r="F36" s="511">
        <f t="shared" si="14"/>
        <v>4757317.5086010555</v>
      </c>
      <c r="G36" s="512">
        <f t="shared" si="15"/>
        <v>789662.49593102455</v>
      </c>
      <c r="H36" s="478">
        <f t="shared" si="16"/>
        <v>789662.49593102455</v>
      </c>
      <c r="I36" s="501">
        <f t="shared" si="1"/>
        <v>0</v>
      </c>
      <c r="J36" s="501"/>
      <c r="K36" s="513"/>
      <c r="L36" s="505">
        <f t="shared" si="2"/>
        <v>0</v>
      </c>
      <c r="M36" s="513"/>
      <c r="N36" s="505">
        <f t="shared" si="3"/>
        <v>0</v>
      </c>
      <c r="O36" s="505">
        <f t="shared" si="4"/>
        <v>0</v>
      </c>
      <c r="P36" s="279"/>
    </row>
    <row r="37" spans="2:16" ht="12.5">
      <c r="B37" s="145" t="str">
        <f t="shared" si="0"/>
        <v/>
      </c>
      <c r="C37" s="496">
        <f>IF(D11="","-",+C36+1)</f>
        <v>2038</v>
      </c>
      <c r="D37" s="509">
        <f>IF(F36+SUM(E$17:E36)=D$10,F36,D$10-SUM(E$17:E36))</f>
        <v>4757317.5086010555</v>
      </c>
      <c r="E37" s="510">
        <f t="shared" si="13"/>
        <v>217918.63414634147</v>
      </c>
      <c r="F37" s="511">
        <f t="shared" si="14"/>
        <v>4539398.8744547144</v>
      </c>
      <c r="G37" s="512">
        <f t="shared" si="15"/>
        <v>764059.01180855883</v>
      </c>
      <c r="H37" s="478">
        <f t="shared" si="16"/>
        <v>764059.01180855883</v>
      </c>
      <c r="I37" s="501">
        <f t="shared" si="1"/>
        <v>0</v>
      </c>
      <c r="J37" s="501"/>
      <c r="K37" s="513"/>
      <c r="L37" s="505">
        <f t="shared" si="2"/>
        <v>0</v>
      </c>
      <c r="M37" s="513"/>
      <c r="N37" s="505">
        <f t="shared" si="3"/>
        <v>0</v>
      </c>
      <c r="O37" s="505">
        <f t="shared" si="4"/>
        <v>0</v>
      </c>
      <c r="P37" s="279"/>
    </row>
    <row r="38" spans="2:16" ht="12.5">
      <c r="B38" s="145" t="str">
        <f t="shared" si="0"/>
        <v/>
      </c>
      <c r="C38" s="496">
        <f>IF(D11="","-",+C37+1)</f>
        <v>2039</v>
      </c>
      <c r="D38" s="509">
        <f>IF(F37+SUM(E$17:E37)=D$10,F37,D$10-SUM(E$17:E37))</f>
        <v>4539398.8744547144</v>
      </c>
      <c r="E38" s="510">
        <f t="shared" si="13"/>
        <v>217918.63414634147</v>
      </c>
      <c r="F38" s="511">
        <f t="shared" si="14"/>
        <v>4321480.2403083732</v>
      </c>
      <c r="G38" s="512">
        <f t="shared" si="15"/>
        <v>738455.52768609324</v>
      </c>
      <c r="H38" s="478">
        <f t="shared" si="16"/>
        <v>738455.52768609324</v>
      </c>
      <c r="I38" s="501">
        <f t="shared" si="1"/>
        <v>0</v>
      </c>
      <c r="J38" s="501"/>
      <c r="K38" s="513"/>
      <c r="L38" s="505">
        <f t="shared" si="2"/>
        <v>0</v>
      </c>
      <c r="M38" s="513"/>
      <c r="N38" s="505">
        <f t="shared" si="3"/>
        <v>0</v>
      </c>
      <c r="O38" s="505">
        <f t="shared" si="4"/>
        <v>0</v>
      </c>
      <c r="P38" s="279"/>
    </row>
    <row r="39" spans="2:16" ht="12.5">
      <c r="B39" s="145" t="str">
        <f t="shared" si="0"/>
        <v/>
      </c>
      <c r="C39" s="496">
        <f>IF(D11="","-",+C38+1)</f>
        <v>2040</v>
      </c>
      <c r="D39" s="509">
        <f>IF(F38+SUM(E$17:E38)=D$10,F38,D$10-SUM(E$17:E38))</f>
        <v>4321480.2403083732</v>
      </c>
      <c r="E39" s="510">
        <f t="shared" si="13"/>
        <v>217918.63414634147</v>
      </c>
      <c r="F39" s="511">
        <f t="shared" si="14"/>
        <v>4103561.6061620316</v>
      </c>
      <c r="G39" s="512">
        <f t="shared" si="15"/>
        <v>712852.04356362752</v>
      </c>
      <c r="H39" s="478">
        <f t="shared" si="16"/>
        <v>712852.04356362752</v>
      </c>
      <c r="I39" s="501">
        <f t="shared" si="1"/>
        <v>0</v>
      </c>
      <c r="J39" s="501"/>
      <c r="K39" s="513"/>
      <c r="L39" s="505">
        <f t="shared" si="2"/>
        <v>0</v>
      </c>
      <c r="M39" s="513"/>
      <c r="N39" s="505">
        <f t="shared" si="3"/>
        <v>0</v>
      </c>
      <c r="O39" s="505">
        <f t="shared" si="4"/>
        <v>0</v>
      </c>
      <c r="P39" s="279"/>
    </row>
    <row r="40" spans="2:16" ht="12.5">
      <c r="B40" s="145" t="str">
        <f t="shared" si="0"/>
        <v/>
      </c>
      <c r="C40" s="496">
        <f>IF(D11="","-",+C39+1)</f>
        <v>2041</v>
      </c>
      <c r="D40" s="509">
        <f>IF(F39+SUM(E$17:E39)=D$10,F39,D$10-SUM(E$17:E39))</f>
        <v>4103561.6061620316</v>
      </c>
      <c r="E40" s="510">
        <f t="shared" si="13"/>
        <v>217918.63414634147</v>
      </c>
      <c r="F40" s="511">
        <f t="shared" si="14"/>
        <v>3885642.9720156901</v>
      </c>
      <c r="G40" s="512">
        <f t="shared" si="15"/>
        <v>687248.55944116181</v>
      </c>
      <c r="H40" s="478">
        <f t="shared" si="16"/>
        <v>687248.55944116181</v>
      </c>
      <c r="I40" s="501">
        <f t="shared" si="1"/>
        <v>0</v>
      </c>
      <c r="J40" s="501"/>
      <c r="K40" s="513"/>
      <c r="L40" s="505">
        <f t="shared" si="2"/>
        <v>0</v>
      </c>
      <c r="M40" s="513"/>
      <c r="N40" s="505">
        <f t="shared" si="3"/>
        <v>0</v>
      </c>
      <c r="O40" s="505">
        <f t="shared" si="4"/>
        <v>0</v>
      </c>
      <c r="P40" s="279"/>
    </row>
    <row r="41" spans="2:16" ht="12.5">
      <c r="B41" s="145" t="str">
        <f t="shared" si="0"/>
        <v/>
      </c>
      <c r="C41" s="496">
        <f>IF(D11="","-",+C40+1)</f>
        <v>2042</v>
      </c>
      <c r="D41" s="509">
        <f>IF(F40+SUM(E$17:E40)=D$10,F40,D$10-SUM(E$17:E40))</f>
        <v>3885642.9720156901</v>
      </c>
      <c r="E41" s="510">
        <f t="shared" si="13"/>
        <v>217918.63414634147</v>
      </c>
      <c r="F41" s="511">
        <f t="shared" si="14"/>
        <v>3667724.3378693485</v>
      </c>
      <c r="G41" s="512">
        <f t="shared" si="15"/>
        <v>661645.07531869609</v>
      </c>
      <c r="H41" s="478">
        <f t="shared" si="16"/>
        <v>661645.07531869609</v>
      </c>
      <c r="I41" s="501">
        <f t="shared" si="1"/>
        <v>0</v>
      </c>
      <c r="J41" s="501"/>
      <c r="K41" s="513"/>
      <c r="L41" s="505">
        <f t="shared" si="2"/>
        <v>0</v>
      </c>
      <c r="M41" s="513"/>
      <c r="N41" s="505">
        <f t="shared" si="3"/>
        <v>0</v>
      </c>
      <c r="O41" s="505">
        <f t="shared" si="4"/>
        <v>0</v>
      </c>
      <c r="P41" s="279"/>
    </row>
    <row r="42" spans="2:16" ht="12.5">
      <c r="B42" s="145" t="str">
        <f t="shared" si="0"/>
        <v/>
      </c>
      <c r="C42" s="496">
        <f>IF(D11="","-",+C41+1)</f>
        <v>2043</v>
      </c>
      <c r="D42" s="509">
        <f>IF(F41+SUM(E$17:E41)=D$10,F41,D$10-SUM(E$17:E41))</f>
        <v>3667724.3378693485</v>
      </c>
      <c r="E42" s="510">
        <f t="shared" si="13"/>
        <v>217918.63414634147</v>
      </c>
      <c r="F42" s="511">
        <f t="shared" si="14"/>
        <v>3449805.7037230069</v>
      </c>
      <c r="G42" s="512">
        <f t="shared" si="15"/>
        <v>636041.59119623038</v>
      </c>
      <c r="H42" s="478">
        <f t="shared" si="16"/>
        <v>636041.59119623038</v>
      </c>
      <c r="I42" s="501">
        <f t="shared" si="1"/>
        <v>0</v>
      </c>
      <c r="J42" s="501"/>
      <c r="K42" s="513"/>
      <c r="L42" s="505">
        <f t="shared" si="2"/>
        <v>0</v>
      </c>
      <c r="M42" s="513"/>
      <c r="N42" s="505">
        <f t="shared" si="3"/>
        <v>0</v>
      </c>
      <c r="O42" s="505">
        <f t="shared" si="4"/>
        <v>0</v>
      </c>
      <c r="P42" s="279"/>
    </row>
    <row r="43" spans="2:16" ht="12.5">
      <c r="B43" s="145" t="str">
        <f t="shared" si="0"/>
        <v/>
      </c>
      <c r="C43" s="496">
        <f>IF(D11="","-",+C42+1)</f>
        <v>2044</v>
      </c>
      <c r="D43" s="509">
        <f>IF(F42+SUM(E$17:E42)=D$10,F42,D$10-SUM(E$17:E42))</f>
        <v>3449805.7037230069</v>
      </c>
      <c r="E43" s="510">
        <f t="shared" si="13"/>
        <v>217918.63414634147</v>
      </c>
      <c r="F43" s="511">
        <f t="shared" si="14"/>
        <v>3231887.0695766653</v>
      </c>
      <c r="G43" s="512">
        <f t="shared" si="15"/>
        <v>610438.10707376478</v>
      </c>
      <c r="H43" s="478">
        <f t="shared" si="16"/>
        <v>610438.10707376478</v>
      </c>
      <c r="I43" s="501">
        <f t="shared" si="1"/>
        <v>0</v>
      </c>
      <c r="J43" s="501"/>
      <c r="K43" s="513"/>
      <c r="L43" s="505">
        <f t="shared" si="2"/>
        <v>0</v>
      </c>
      <c r="M43" s="513"/>
      <c r="N43" s="505">
        <f t="shared" si="3"/>
        <v>0</v>
      </c>
      <c r="O43" s="505">
        <f t="shared" si="4"/>
        <v>0</v>
      </c>
      <c r="P43" s="279"/>
    </row>
    <row r="44" spans="2:16" ht="12.5">
      <c r="B44" s="145" t="str">
        <f t="shared" si="0"/>
        <v/>
      </c>
      <c r="C44" s="496">
        <f>IF(D11="","-",+C43+1)</f>
        <v>2045</v>
      </c>
      <c r="D44" s="509">
        <f>IF(F43+SUM(E$17:E43)=D$10,F43,D$10-SUM(E$17:E43))</f>
        <v>3231887.0695766653</v>
      </c>
      <c r="E44" s="510">
        <f t="shared" si="13"/>
        <v>217918.63414634147</v>
      </c>
      <c r="F44" s="511">
        <f t="shared" si="14"/>
        <v>3013968.4354303237</v>
      </c>
      <c r="G44" s="512">
        <f t="shared" si="15"/>
        <v>584834.62295129907</v>
      </c>
      <c r="H44" s="478">
        <f t="shared" si="16"/>
        <v>584834.62295129907</v>
      </c>
      <c r="I44" s="501">
        <f t="shared" si="1"/>
        <v>0</v>
      </c>
      <c r="J44" s="501"/>
      <c r="K44" s="513"/>
      <c r="L44" s="505">
        <f t="shared" si="2"/>
        <v>0</v>
      </c>
      <c r="M44" s="513"/>
      <c r="N44" s="505">
        <f t="shared" si="3"/>
        <v>0</v>
      </c>
      <c r="O44" s="505">
        <f t="shared" si="4"/>
        <v>0</v>
      </c>
      <c r="P44" s="279"/>
    </row>
    <row r="45" spans="2:16" ht="12.5">
      <c r="B45" s="145" t="str">
        <f t="shared" si="0"/>
        <v/>
      </c>
      <c r="C45" s="496">
        <f>IF(D11="","-",+C44+1)</f>
        <v>2046</v>
      </c>
      <c r="D45" s="509">
        <f>IF(F44+SUM(E$17:E44)=D$10,F44,D$10-SUM(E$17:E44))</f>
        <v>3013968.4354303237</v>
      </c>
      <c r="E45" s="510">
        <f t="shared" si="13"/>
        <v>217918.63414634147</v>
      </c>
      <c r="F45" s="511">
        <f t="shared" si="14"/>
        <v>2796049.8012839821</v>
      </c>
      <c r="G45" s="512">
        <f t="shared" si="15"/>
        <v>559231.13882883335</v>
      </c>
      <c r="H45" s="478">
        <f t="shared" si="16"/>
        <v>559231.13882883335</v>
      </c>
      <c r="I45" s="501">
        <f t="shared" si="1"/>
        <v>0</v>
      </c>
      <c r="J45" s="501"/>
      <c r="K45" s="513"/>
      <c r="L45" s="505">
        <f t="shared" si="2"/>
        <v>0</v>
      </c>
      <c r="M45" s="513"/>
      <c r="N45" s="505">
        <f t="shared" si="3"/>
        <v>0</v>
      </c>
      <c r="O45" s="505">
        <f t="shared" si="4"/>
        <v>0</v>
      </c>
      <c r="P45" s="279"/>
    </row>
    <row r="46" spans="2:16" ht="12.5">
      <c r="B46" s="145" t="str">
        <f t="shared" si="0"/>
        <v/>
      </c>
      <c r="C46" s="496">
        <f>IF(D11="","-",+C45+1)</f>
        <v>2047</v>
      </c>
      <c r="D46" s="509">
        <f>IF(F45+SUM(E$17:E45)=D$10,F45,D$10-SUM(E$17:E45))</f>
        <v>2796049.8012839821</v>
      </c>
      <c r="E46" s="510">
        <f t="shared" si="13"/>
        <v>217918.63414634147</v>
      </c>
      <c r="F46" s="511">
        <f t="shared" si="14"/>
        <v>2578131.1671376405</v>
      </c>
      <c r="G46" s="512">
        <f t="shared" si="15"/>
        <v>533627.65470636764</v>
      </c>
      <c r="H46" s="478">
        <f t="shared" si="16"/>
        <v>533627.65470636764</v>
      </c>
      <c r="I46" s="501">
        <f t="shared" si="1"/>
        <v>0</v>
      </c>
      <c r="J46" s="501"/>
      <c r="K46" s="513"/>
      <c r="L46" s="505">
        <f t="shared" si="2"/>
        <v>0</v>
      </c>
      <c r="M46" s="513"/>
      <c r="N46" s="505">
        <f t="shared" si="3"/>
        <v>0</v>
      </c>
      <c r="O46" s="505">
        <f t="shared" si="4"/>
        <v>0</v>
      </c>
      <c r="P46" s="279"/>
    </row>
    <row r="47" spans="2:16" ht="12.5">
      <c r="B47" s="145" t="str">
        <f t="shared" si="0"/>
        <v/>
      </c>
      <c r="C47" s="496">
        <f>IF(D11="","-",+C46+1)</f>
        <v>2048</v>
      </c>
      <c r="D47" s="509">
        <f>IF(F46+SUM(E$17:E46)=D$10,F46,D$10-SUM(E$17:E46))</f>
        <v>2578131.1671376405</v>
      </c>
      <c r="E47" s="510">
        <f t="shared" si="13"/>
        <v>217918.63414634147</v>
      </c>
      <c r="F47" s="511">
        <f t="shared" si="14"/>
        <v>2360212.5329912989</v>
      </c>
      <c r="G47" s="512">
        <f t="shared" si="15"/>
        <v>508024.17058390193</v>
      </c>
      <c r="H47" s="478">
        <f t="shared" si="16"/>
        <v>508024.17058390193</v>
      </c>
      <c r="I47" s="501">
        <f t="shared" si="1"/>
        <v>0</v>
      </c>
      <c r="J47" s="501"/>
      <c r="K47" s="513"/>
      <c r="L47" s="505">
        <f t="shared" si="2"/>
        <v>0</v>
      </c>
      <c r="M47" s="513"/>
      <c r="N47" s="505">
        <f t="shared" si="3"/>
        <v>0</v>
      </c>
      <c r="O47" s="505">
        <f t="shared" si="4"/>
        <v>0</v>
      </c>
      <c r="P47" s="279"/>
    </row>
    <row r="48" spans="2:16" ht="12.5">
      <c r="B48" s="145" t="str">
        <f t="shared" si="0"/>
        <v/>
      </c>
      <c r="C48" s="496">
        <f>IF(D11="","-",+C47+1)</f>
        <v>2049</v>
      </c>
      <c r="D48" s="509">
        <f>IF(F47+SUM(E$17:E47)=D$10,F47,D$10-SUM(E$17:E47))</f>
        <v>2360212.5329912989</v>
      </c>
      <c r="E48" s="510">
        <f t="shared" si="13"/>
        <v>217918.63414634147</v>
      </c>
      <c r="F48" s="511">
        <f t="shared" si="14"/>
        <v>2142293.8988449574</v>
      </c>
      <c r="G48" s="512">
        <f t="shared" si="15"/>
        <v>482420.68646143627</v>
      </c>
      <c r="H48" s="478">
        <f t="shared" si="16"/>
        <v>482420.68646143627</v>
      </c>
      <c r="I48" s="501">
        <f t="shared" si="1"/>
        <v>0</v>
      </c>
      <c r="J48" s="501"/>
      <c r="K48" s="513"/>
      <c r="L48" s="505">
        <f t="shared" si="2"/>
        <v>0</v>
      </c>
      <c r="M48" s="513"/>
      <c r="N48" s="505">
        <f t="shared" si="3"/>
        <v>0</v>
      </c>
      <c r="O48" s="505">
        <f t="shared" si="4"/>
        <v>0</v>
      </c>
      <c r="P48" s="279"/>
    </row>
    <row r="49" spans="2:16" ht="12.5">
      <c r="B49" s="145" t="str">
        <f t="shared" si="0"/>
        <v/>
      </c>
      <c r="C49" s="496">
        <f>IF(D11="","-",+C48+1)</f>
        <v>2050</v>
      </c>
      <c r="D49" s="509">
        <f>IF(F48+SUM(E$17:E48)=D$10,F48,D$10-SUM(E$17:E48))</f>
        <v>2142293.8988449574</v>
      </c>
      <c r="E49" s="510">
        <f t="shared" si="13"/>
        <v>217918.63414634147</v>
      </c>
      <c r="F49" s="511">
        <f t="shared" si="14"/>
        <v>1924375.2646986158</v>
      </c>
      <c r="G49" s="512">
        <f t="shared" si="15"/>
        <v>456817.2023389705</v>
      </c>
      <c r="H49" s="478">
        <f t="shared" si="16"/>
        <v>456817.2023389705</v>
      </c>
      <c r="I49" s="501">
        <f t="shared" si="1"/>
        <v>0</v>
      </c>
      <c r="J49" s="501"/>
      <c r="K49" s="513"/>
      <c r="L49" s="505">
        <f t="shared" si="2"/>
        <v>0</v>
      </c>
      <c r="M49" s="513"/>
      <c r="N49" s="505">
        <f t="shared" si="3"/>
        <v>0</v>
      </c>
      <c r="O49" s="505">
        <f t="shared" si="4"/>
        <v>0</v>
      </c>
      <c r="P49" s="279"/>
    </row>
    <row r="50" spans="2:16" ht="12.5">
      <c r="B50" s="145" t="str">
        <f t="shared" si="0"/>
        <v/>
      </c>
      <c r="C50" s="496">
        <f>IF(D11="","-",+C49+1)</f>
        <v>2051</v>
      </c>
      <c r="D50" s="509">
        <f>IF(F49+SUM(E$17:E49)=D$10,F49,D$10-SUM(E$17:E49))</f>
        <v>1924375.2646986158</v>
      </c>
      <c r="E50" s="510">
        <f t="shared" si="13"/>
        <v>217918.63414634147</v>
      </c>
      <c r="F50" s="511">
        <f t="shared" si="14"/>
        <v>1706456.6305522742</v>
      </c>
      <c r="G50" s="512">
        <f t="shared" si="15"/>
        <v>431213.71821650484</v>
      </c>
      <c r="H50" s="478">
        <f t="shared" si="16"/>
        <v>431213.71821650484</v>
      </c>
      <c r="I50" s="501">
        <f t="shared" si="1"/>
        <v>0</v>
      </c>
      <c r="J50" s="501"/>
      <c r="K50" s="513"/>
      <c r="L50" s="505">
        <f t="shared" si="2"/>
        <v>0</v>
      </c>
      <c r="M50" s="513"/>
      <c r="N50" s="505">
        <f t="shared" si="3"/>
        <v>0</v>
      </c>
      <c r="O50" s="505">
        <f t="shared" si="4"/>
        <v>0</v>
      </c>
      <c r="P50" s="279"/>
    </row>
    <row r="51" spans="2:16" ht="12.5">
      <c r="B51" s="145" t="str">
        <f t="shared" si="0"/>
        <v/>
      </c>
      <c r="C51" s="496">
        <f>IF(D11="","-",+C50+1)</f>
        <v>2052</v>
      </c>
      <c r="D51" s="509">
        <f>IF(F50+SUM(E$17:E50)=D$10,F50,D$10-SUM(E$17:E50))</f>
        <v>1706456.6305522742</v>
      </c>
      <c r="E51" s="510">
        <f t="shared" si="13"/>
        <v>217918.63414634147</v>
      </c>
      <c r="F51" s="511">
        <f t="shared" si="14"/>
        <v>1488537.9964059326</v>
      </c>
      <c r="G51" s="512">
        <f t="shared" si="15"/>
        <v>405610.23409403913</v>
      </c>
      <c r="H51" s="478">
        <f t="shared" si="16"/>
        <v>405610.23409403913</v>
      </c>
      <c r="I51" s="501">
        <f t="shared" si="1"/>
        <v>0</v>
      </c>
      <c r="J51" s="501"/>
      <c r="K51" s="513"/>
      <c r="L51" s="505">
        <f t="shared" si="2"/>
        <v>0</v>
      </c>
      <c r="M51" s="513"/>
      <c r="N51" s="505">
        <f t="shared" si="3"/>
        <v>0</v>
      </c>
      <c r="O51" s="505">
        <f t="shared" si="4"/>
        <v>0</v>
      </c>
      <c r="P51" s="279"/>
    </row>
    <row r="52" spans="2:16" ht="12.5">
      <c r="B52" s="145" t="str">
        <f t="shared" si="0"/>
        <v/>
      </c>
      <c r="C52" s="496">
        <f>IF(D11="","-",+C51+1)</f>
        <v>2053</v>
      </c>
      <c r="D52" s="509">
        <f>IF(F51+SUM(E$17:E51)=D$10,F51,D$10-SUM(E$17:E51))</f>
        <v>1488537.9964059326</v>
      </c>
      <c r="E52" s="510">
        <f t="shared" si="13"/>
        <v>217918.63414634147</v>
      </c>
      <c r="F52" s="511">
        <f t="shared" si="14"/>
        <v>1270619.362259591</v>
      </c>
      <c r="G52" s="512">
        <f t="shared" si="15"/>
        <v>380006.74997157347</v>
      </c>
      <c r="H52" s="478">
        <f t="shared" si="16"/>
        <v>380006.74997157347</v>
      </c>
      <c r="I52" s="501">
        <f t="shared" si="1"/>
        <v>0</v>
      </c>
      <c r="J52" s="501"/>
      <c r="K52" s="513"/>
      <c r="L52" s="505">
        <f t="shared" si="2"/>
        <v>0</v>
      </c>
      <c r="M52" s="513"/>
      <c r="N52" s="505">
        <f t="shared" si="3"/>
        <v>0</v>
      </c>
      <c r="O52" s="505">
        <f t="shared" si="4"/>
        <v>0</v>
      </c>
      <c r="P52" s="279"/>
    </row>
    <row r="53" spans="2:16" ht="12.5">
      <c r="B53" s="145" t="str">
        <f t="shared" si="0"/>
        <v/>
      </c>
      <c r="C53" s="496">
        <f>IF(D11="","-",+C52+1)</f>
        <v>2054</v>
      </c>
      <c r="D53" s="509">
        <f>IF(F52+SUM(E$17:E52)=D$10,F52,D$10-SUM(E$17:E52))</f>
        <v>1270619.362259591</v>
      </c>
      <c r="E53" s="510">
        <f t="shared" si="13"/>
        <v>217918.63414634147</v>
      </c>
      <c r="F53" s="511">
        <f t="shared" si="14"/>
        <v>1052700.7281132494</v>
      </c>
      <c r="G53" s="512">
        <f t="shared" si="15"/>
        <v>354403.26584910776</v>
      </c>
      <c r="H53" s="478">
        <f t="shared" si="16"/>
        <v>354403.26584910776</v>
      </c>
      <c r="I53" s="501">
        <f t="shared" si="1"/>
        <v>0</v>
      </c>
      <c r="J53" s="501"/>
      <c r="K53" s="513"/>
      <c r="L53" s="505">
        <f t="shared" si="2"/>
        <v>0</v>
      </c>
      <c r="M53" s="513"/>
      <c r="N53" s="505">
        <f t="shared" si="3"/>
        <v>0</v>
      </c>
      <c r="O53" s="505">
        <f t="shared" si="4"/>
        <v>0</v>
      </c>
      <c r="P53" s="279"/>
    </row>
    <row r="54" spans="2:16" ht="12.5">
      <c r="B54" s="145" t="str">
        <f t="shared" si="0"/>
        <v/>
      </c>
      <c r="C54" s="496">
        <f>IF(D11="","-",+C53+1)</f>
        <v>2055</v>
      </c>
      <c r="D54" s="509">
        <f>IF(F53+SUM(E$17:E53)=D$10,F53,D$10-SUM(E$17:E53))</f>
        <v>1052700.7281132545</v>
      </c>
      <c r="E54" s="510">
        <f t="shared" si="13"/>
        <v>217918.63414634147</v>
      </c>
      <c r="F54" s="511">
        <f t="shared" si="14"/>
        <v>834782.09396691306</v>
      </c>
      <c r="G54" s="512">
        <f t="shared" si="15"/>
        <v>328799.78172664263</v>
      </c>
      <c r="H54" s="478">
        <f t="shared" si="16"/>
        <v>328799.78172664263</v>
      </c>
      <c r="I54" s="501">
        <f t="shared" si="1"/>
        <v>0</v>
      </c>
      <c r="J54" s="501"/>
      <c r="K54" s="513"/>
      <c r="L54" s="505">
        <f t="shared" si="2"/>
        <v>0</v>
      </c>
      <c r="M54" s="513"/>
      <c r="N54" s="505">
        <f t="shared" si="3"/>
        <v>0</v>
      </c>
      <c r="O54" s="505">
        <f t="shared" si="4"/>
        <v>0</v>
      </c>
      <c r="P54" s="279"/>
    </row>
    <row r="55" spans="2:16" ht="12.5">
      <c r="B55" s="145" t="str">
        <f t="shared" si="0"/>
        <v/>
      </c>
      <c r="C55" s="496">
        <f>IF(D11="","-",+C54+1)</f>
        <v>2056</v>
      </c>
      <c r="D55" s="509">
        <f>IF(F54+SUM(E$17:E54)=D$10,F54,D$10-SUM(E$17:E54))</f>
        <v>834782.09396691306</v>
      </c>
      <c r="E55" s="510">
        <f t="shared" si="13"/>
        <v>217918.63414634147</v>
      </c>
      <c r="F55" s="511">
        <f t="shared" si="14"/>
        <v>616863.45982057159</v>
      </c>
      <c r="G55" s="512">
        <f t="shared" si="15"/>
        <v>303196.29760417697</v>
      </c>
      <c r="H55" s="478">
        <f t="shared" si="16"/>
        <v>303196.29760417697</v>
      </c>
      <c r="I55" s="501">
        <f t="shared" si="1"/>
        <v>0</v>
      </c>
      <c r="J55" s="501"/>
      <c r="K55" s="513"/>
      <c r="L55" s="505">
        <f t="shared" si="2"/>
        <v>0</v>
      </c>
      <c r="M55" s="513"/>
      <c r="N55" s="505">
        <f t="shared" si="3"/>
        <v>0</v>
      </c>
      <c r="O55" s="505">
        <f t="shared" si="4"/>
        <v>0</v>
      </c>
      <c r="P55" s="279"/>
    </row>
    <row r="56" spans="2:16" ht="12.5">
      <c r="B56" s="145" t="str">
        <f t="shared" si="0"/>
        <v/>
      </c>
      <c r="C56" s="496">
        <f>IF(D11="","-",+C55+1)</f>
        <v>2057</v>
      </c>
      <c r="D56" s="509">
        <f>IF(F55+SUM(E$17:E55)=D$10,F55,D$10-SUM(E$17:E55))</f>
        <v>616863.45982057159</v>
      </c>
      <c r="E56" s="510">
        <f t="shared" si="13"/>
        <v>217918.63414634147</v>
      </c>
      <c r="F56" s="511">
        <f t="shared" si="14"/>
        <v>398944.82567423012</v>
      </c>
      <c r="G56" s="512">
        <f t="shared" si="15"/>
        <v>277592.81348171126</v>
      </c>
      <c r="H56" s="478">
        <f t="shared" si="16"/>
        <v>277592.81348171126</v>
      </c>
      <c r="I56" s="501">
        <f t="shared" si="1"/>
        <v>0</v>
      </c>
      <c r="J56" s="501"/>
      <c r="K56" s="513"/>
      <c r="L56" s="505">
        <f t="shared" si="2"/>
        <v>0</v>
      </c>
      <c r="M56" s="513"/>
      <c r="N56" s="505">
        <f t="shared" si="3"/>
        <v>0</v>
      </c>
      <c r="O56" s="505">
        <f t="shared" si="4"/>
        <v>0</v>
      </c>
      <c r="P56" s="279"/>
    </row>
    <row r="57" spans="2:16" ht="12.5">
      <c r="B57" s="145" t="str">
        <f t="shared" si="0"/>
        <v/>
      </c>
      <c r="C57" s="496">
        <f>IF(D11="","-",+C56+1)</f>
        <v>2058</v>
      </c>
      <c r="D57" s="509">
        <f>IF(F56+SUM(E$17:E56)=D$10,F56,D$10-SUM(E$17:E56))</f>
        <v>398944.82567423012</v>
      </c>
      <c r="E57" s="510">
        <f t="shared" si="13"/>
        <v>217918.63414634147</v>
      </c>
      <c r="F57" s="511">
        <f t="shared" si="14"/>
        <v>181026.19152788864</v>
      </c>
      <c r="G57" s="512">
        <f t="shared" si="15"/>
        <v>251989.3293592456</v>
      </c>
      <c r="H57" s="478">
        <f t="shared" si="16"/>
        <v>251989.3293592456</v>
      </c>
      <c r="I57" s="501">
        <f t="shared" si="1"/>
        <v>0</v>
      </c>
      <c r="J57" s="501"/>
      <c r="K57" s="513"/>
      <c r="L57" s="505">
        <f t="shared" si="2"/>
        <v>0</v>
      </c>
      <c r="M57" s="513"/>
      <c r="N57" s="505">
        <f t="shared" si="3"/>
        <v>0</v>
      </c>
      <c r="O57" s="505">
        <f t="shared" si="4"/>
        <v>0</v>
      </c>
      <c r="P57" s="279"/>
    </row>
    <row r="58" spans="2:16" ht="12.5">
      <c r="B58" s="145" t="str">
        <f t="shared" si="0"/>
        <v/>
      </c>
      <c r="C58" s="496">
        <f>IF(D11="","-",+C57+1)</f>
        <v>2059</v>
      </c>
      <c r="D58" s="509">
        <f>IF(F57+SUM(E$17:E57)=D$10,F57,D$10-SUM(E$17:E57))</f>
        <v>181026.19152788864</v>
      </c>
      <c r="E58" s="510">
        <f t="shared" si="13"/>
        <v>181026.19152788864</v>
      </c>
      <c r="F58" s="511">
        <f t="shared" si="14"/>
        <v>0</v>
      </c>
      <c r="G58" s="512">
        <f t="shared" si="15"/>
        <v>191660.66810372428</v>
      </c>
      <c r="H58" s="478">
        <f t="shared" si="16"/>
        <v>191660.66810372428</v>
      </c>
      <c r="I58" s="501">
        <f t="shared" si="1"/>
        <v>0</v>
      </c>
      <c r="J58" s="501"/>
      <c r="K58" s="513"/>
      <c r="L58" s="505">
        <f t="shared" si="2"/>
        <v>0</v>
      </c>
      <c r="M58" s="513"/>
      <c r="N58" s="505">
        <f t="shared" si="3"/>
        <v>0</v>
      </c>
      <c r="O58" s="505">
        <f t="shared" si="4"/>
        <v>0</v>
      </c>
      <c r="P58" s="279"/>
    </row>
    <row r="59" spans="2:16" ht="12.5">
      <c r="B59" s="145" t="str">
        <f t="shared" si="0"/>
        <v/>
      </c>
      <c r="C59" s="496">
        <f>IF(D11="","-",+C58+1)</f>
        <v>2060</v>
      </c>
      <c r="D59" s="509">
        <f>IF(F58+SUM(E$17:E58)=D$10,F58,D$10-SUM(E$17:E58))</f>
        <v>0</v>
      </c>
      <c r="E59" s="510">
        <f t="shared" si="13"/>
        <v>0</v>
      </c>
      <c r="F59" s="511">
        <f t="shared" si="14"/>
        <v>0</v>
      </c>
      <c r="G59" s="512">
        <f t="shared" si="15"/>
        <v>0</v>
      </c>
      <c r="H59" s="478">
        <f t="shared" si="16"/>
        <v>0</v>
      </c>
      <c r="I59" s="501">
        <f t="shared" si="1"/>
        <v>0</v>
      </c>
      <c r="J59" s="501"/>
      <c r="K59" s="513"/>
      <c r="L59" s="505">
        <f t="shared" si="2"/>
        <v>0</v>
      </c>
      <c r="M59" s="513"/>
      <c r="N59" s="505">
        <f t="shared" si="3"/>
        <v>0</v>
      </c>
      <c r="O59" s="505">
        <f t="shared" si="4"/>
        <v>0</v>
      </c>
      <c r="P59" s="279"/>
    </row>
    <row r="60" spans="2:16" ht="12.5">
      <c r="B60" s="145" t="str">
        <f t="shared" si="0"/>
        <v/>
      </c>
      <c r="C60" s="496">
        <f>IF(D11="","-",+C59+1)</f>
        <v>2061</v>
      </c>
      <c r="D60" s="509">
        <f>IF(F59+SUM(E$17:E59)=D$10,F59,D$10-SUM(E$17:E59))</f>
        <v>0</v>
      </c>
      <c r="E60" s="510">
        <f t="shared" si="13"/>
        <v>0</v>
      </c>
      <c r="F60" s="511">
        <f t="shared" si="14"/>
        <v>0</v>
      </c>
      <c r="G60" s="512">
        <f t="shared" si="15"/>
        <v>0</v>
      </c>
      <c r="H60" s="478">
        <f t="shared" si="16"/>
        <v>0</v>
      </c>
      <c r="I60" s="501">
        <f t="shared" si="1"/>
        <v>0</v>
      </c>
      <c r="J60" s="501"/>
      <c r="K60" s="513"/>
      <c r="L60" s="505">
        <f t="shared" si="2"/>
        <v>0</v>
      </c>
      <c r="M60" s="513"/>
      <c r="N60" s="505">
        <f t="shared" si="3"/>
        <v>0</v>
      </c>
      <c r="O60" s="505">
        <f t="shared" si="4"/>
        <v>0</v>
      </c>
      <c r="P60" s="279"/>
    </row>
    <row r="61" spans="2:16" ht="12.5">
      <c r="B61" s="145" t="str">
        <f t="shared" si="0"/>
        <v/>
      </c>
      <c r="C61" s="496">
        <f>IF(D11="","-",+C60+1)</f>
        <v>2062</v>
      </c>
      <c r="D61" s="509">
        <f>IF(F60+SUM(E$17:E60)=D$10,F60,D$10-SUM(E$17:E60))</f>
        <v>0</v>
      </c>
      <c r="E61" s="510">
        <f t="shared" si="13"/>
        <v>0</v>
      </c>
      <c r="F61" s="511">
        <f t="shared" si="14"/>
        <v>0</v>
      </c>
      <c r="G61" s="524">
        <f t="shared" si="15"/>
        <v>0</v>
      </c>
      <c r="H61" s="478">
        <f t="shared" si="16"/>
        <v>0</v>
      </c>
      <c r="I61" s="501">
        <f t="shared" si="1"/>
        <v>0</v>
      </c>
      <c r="J61" s="501"/>
      <c r="K61" s="513"/>
      <c r="L61" s="505">
        <f t="shared" si="2"/>
        <v>0</v>
      </c>
      <c r="M61" s="513"/>
      <c r="N61" s="505">
        <f t="shared" si="3"/>
        <v>0</v>
      </c>
      <c r="O61" s="505">
        <f t="shared" si="4"/>
        <v>0</v>
      </c>
      <c r="P61" s="279"/>
    </row>
    <row r="62" spans="2:16" ht="12.5">
      <c r="B62" s="145" t="str">
        <f t="shared" si="0"/>
        <v/>
      </c>
      <c r="C62" s="496">
        <f>IF(D11="","-",+C61+1)</f>
        <v>2063</v>
      </c>
      <c r="D62" s="509">
        <f>IF(F61+SUM(E$17:E61)=D$10,F61,D$10-SUM(E$17:E61))</f>
        <v>0</v>
      </c>
      <c r="E62" s="510">
        <f t="shared" si="13"/>
        <v>0</v>
      </c>
      <c r="F62" s="511">
        <f t="shared" si="14"/>
        <v>0</v>
      </c>
      <c r="G62" s="524">
        <f t="shared" si="15"/>
        <v>0</v>
      </c>
      <c r="H62" s="478">
        <f t="shared" si="16"/>
        <v>0</v>
      </c>
      <c r="I62" s="501">
        <f t="shared" si="1"/>
        <v>0</v>
      </c>
      <c r="J62" s="501"/>
      <c r="K62" s="513"/>
      <c r="L62" s="505">
        <f t="shared" si="2"/>
        <v>0</v>
      </c>
      <c r="M62" s="513"/>
      <c r="N62" s="505">
        <f t="shared" si="3"/>
        <v>0</v>
      </c>
      <c r="O62" s="505">
        <f t="shared" si="4"/>
        <v>0</v>
      </c>
      <c r="P62" s="279"/>
    </row>
    <row r="63" spans="2:16" ht="12.5">
      <c r="B63" s="145" t="str">
        <f t="shared" si="0"/>
        <v/>
      </c>
      <c r="C63" s="496">
        <f>IF(D11="","-",+C62+1)</f>
        <v>2064</v>
      </c>
      <c r="D63" s="509">
        <f>IF(F62+SUM(E$17:E62)=D$10,F62,D$10-SUM(E$17:E62))</f>
        <v>0</v>
      </c>
      <c r="E63" s="510">
        <f t="shared" si="13"/>
        <v>0</v>
      </c>
      <c r="F63" s="511">
        <f t="shared" si="14"/>
        <v>0</v>
      </c>
      <c r="G63" s="524">
        <f t="shared" si="15"/>
        <v>0</v>
      </c>
      <c r="H63" s="478">
        <f t="shared" si="16"/>
        <v>0</v>
      </c>
      <c r="I63" s="501">
        <f t="shared" si="1"/>
        <v>0</v>
      </c>
      <c r="J63" s="501"/>
      <c r="K63" s="513"/>
      <c r="L63" s="505">
        <f t="shared" si="2"/>
        <v>0</v>
      </c>
      <c r="M63" s="513"/>
      <c r="N63" s="505">
        <f t="shared" si="3"/>
        <v>0</v>
      </c>
      <c r="O63" s="505">
        <f t="shared" si="4"/>
        <v>0</v>
      </c>
      <c r="P63" s="279"/>
    </row>
    <row r="64" spans="2:16" ht="12.5">
      <c r="B64" s="145" t="str">
        <f t="shared" si="0"/>
        <v/>
      </c>
      <c r="C64" s="496">
        <f>IF(D11="","-",+C63+1)</f>
        <v>2065</v>
      </c>
      <c r="D64" s="509">
        <f>IF(F63+SUM(E$17:E63)=D$10,F63,D$10-SUM(E$17:E63))</f>
        <v>0</v>
      </c>
      <c r="E64" s="510">
        <f t="shared" si="13"/>
        <v>0</v>
      </c>
      <c r="F64" s="511">
        <f t="shared" si="14"/>
        <v>0</v>
      </c>
      <c r="G64" s="524">
        <f t="shared" si="15"/>
        <v>0</v>
      </c>
      <c r="H64" s="478">
        <f t="shared" si="16"/>
        <v>0</v>
      </c>
      <c r="I64" s="501">
        <f t="shared" si="1"/>
        <v>0</v>
      </c>
      <c r="J64" s="501"/>
      <c r="K64" s="513"/>
      <c r="L64" s="505">
        <f t="shared" si="2"/>
        <v>0</v>
      </c>
      <c r="M64" s="513"/>
      <c r="N64" s="505">
        <f t="shared" si="3"/>
        <v>0</v>
      </c>
      <c r="O64" s="505">
        <f t="shared" si="4"/>
        <v>0</v>
      </c>
      <c r="P64" s="279"/>
    </row>
    <row r="65" spans="2:16" ht="12.5">
      <c r="B65" s="145" t="str">
        <f t="shared" si="0"/>
        <v/>
      </c>
      <c r="C65" s="496">
        <f>IF(D11="","-",+C64+1)</f>
        <v>2066</v>
      </c>
      <c r="D65" s="509">
        <f>IF(F64+SUM(E$17:E64)=D$10,F64,D$10-SUM(E$17:E64))</f>
        <v>0</v>
      </c>
      <c r="E65" s="510">
        <f t="shared" si="13"/>
        <v>0</v>
      </c>
      <c r="F65" s="511">
        <f t="shared" si="14"/>
        <v>0</v>
      </c>
      <c r="G65" s="524">
        <f t="shared" si="15"/>
        <v>0</v>
      </c>
      <c r="H65" s="478">
        <f t="shared" si="16"/>
        <v>0</v>
      </c>
      <c r="I65" s="501">
        <f t="shared" si="1"/>
        <v>0</v>
      </c>
      <c r="J65" s="501"/>
      <c r="K65" s="513"/>
      <c r="L65" s="505">
        <f t="shared" si="2"/>
        <v>0</v>
      </c>
      <c r="M65" s="513"/>
      <c r="N65" s="505">
        <f t="shared" si="3"/>
        <v>0</v>
      </c>
      <c r="O65" s="505">
        <f t="shared" si="4"/>
        <v>0</v>
      </c>
      <c r="P65" s="279"/>
    </row>
    <row r="66" spans="2:16" ht="12.5">
      <c r="B66" s="145" t="str">
        <f t="shared" si="0"/>
        <v/>
      </c>
      <c r="C66" s="496">
        <f>IF(D11="","-",+C65+1)</f>
        <v>2067</v>
      </c>
      <c r="D66" s="509">
        <f>IF(F65+SUM(E$17:E65)=D$10,F65,D$10-SUM(E$17:E65))</f>
        <v>0</v>
      </c>
      <c r="E66" s="510">
        <f t="shared" si="13"/>
        <v>0</v>
      </c>
      <c r="F66" s="511">
        <f t="shared" si="14"/>
        <v>0</v>
      </c>
      <c r="G66" s="524">
        <f t="shared" si="15"/>
        <v>0</v>
      </c>
      <c r="H66" s="478">
        <f t="shared" si="16"/>
        <v>0</v>
      </c>
      <c r="I66" s="501">
        <f t="shared" si="1"/>
        <v>0</v>
      </c>
      <c r="J66" s="501"/>
      <c r="K66" s="513"/>
      <c r="L66" s="505">
        <f t="shared" si="2"/>
        <v>0</v>
      </c>
      <c r="M66" s="513"/>
      <c r="N66" s="505">
        <f t="shared" si="3"/>
        <v>0</v>
      </c>
      <c r="O66" s="505">
        <f t="shared" si="4"/>
        <v>0</v>
      </c>
      <c r="P66" s="279"/>
    </row>
    <row r="67" spans="2:16" ht="12.5">
      <c r="B67" s="145" t="str">
        <f t="shared" si="0"/>
        <v/>
      </c>
      <c r="C67" s="496">
        <f>IF(D11="","-",+C66+1)</f>
        <v>2068</v>
      </c>
      <c r="D67" s="509">
        <f>IF(F66+SUM(E$17:E66)=D$10,F66,D$10-SUM(E$17:E66))</f>
        <v>0</v>
      </c>
      <c r="E67" s="510">
        <f t="shared" si="13"/>
        <v>0</v>
      </c>
      <c r="F67" s="511">
        <f t="shared" si="14"/>
        <v>0</v>
      </c>
      <c r="G67" s="524">
        <f t="shared" si="15"/>
        <v>0</v>
      </c>
      <c r="H67" s="478">
        <f t="shared" si="16"/>
        <v>0</v>
      </c>
      <c r="I67" s="501">
        <f t="shared" si="1"/>
        <v>0</v>
      </c>
      <c r="J67" s="501"/>
      <c r="K67" s="513"/>
      <c r="L67" s="505">
        <f t="shared" si="2"/>
        <v>0</v>
      </c>
      <c r="M67" s="513"/>
      <c r="N67" s="505">
        <f t="shared" si="3"/>
        <v>0</v>
      </c>
      <c r="O67" s="505">
        <f t="shared" si="4"/>
        <v>0</v>
      </c>
      <c r="P67" s="279"/>
    </row>
    <row r="68" spans="2:16" ht="12.5">
      <c r="B68" s="145" t="str">
        <f t="shared" si="0"/>
        <v/>
      </c>
      <c r="C68" s="496">
        <f>IF(D11="","-",+C67+1)</f>
        <v>2069</v>
      </c>
      <c r="D68" s="509">
        <f>IF(F67+SUM(E$17:E67)=D$10,F67,D$10-SUM(E$17:E67))</f>
        <v>0</v>
      </c>
      <c r="E68" s="510">
        <f t="shared" si="13"/>
        <v>0</v>
      </c>
      <c r="F68" s="511">
        <f t="shared" si="14"/>
        <v>0</v>
      </c>
      <c r="G68" s="524">
        <f t="shared" si="15"/>
        <v>0</v>
      </c>
      <c r="H68" s="478">
        <f t="shared" si="16"/>
        <v>0</v>
      </c>
      <c r="I68" s="501">
        <f t="shared" si="1"/>
        <v>0</v>
      </c>
      <c r="J68" s="501"/>
      <c r="K68" s="513"/>
      <c r="L68" s="505">
        <f t="shared" si="2"/>
        <v>0</v>
      </c>
      <c r="M68" s="513"/>
      <c r="N68" s="505">
        <f t="shared" si="3"/>
        <v>0</v>
      </c>
      <c r="O68" s="505">
        <f t="shared" si="4"/>
        <v>0</v>
      </c>
      <c r="P68" s="279"/>
    </row>
    <row r="69" spans="2:16" ht="12.5">
      <c r="B69" s="145" t="str">
        <f t="shared" si="0"/>
        <v/>
      </c>
      <c r="C69" s="496">
        <f>IF(D11="","-",+C68+1)</f>
        <v>2070</v>
      </c>
      <c r="D69" s="509">
        <f>IF(F68+SUM(E$17:E68)=D$10,F68,D$10-SUM(E$17:E68))</f>
        <v>0</v>
      </c>
      <c r="E69" s="510">
        <f t="shared" si="13"/>
        <v>0</v>
      </c>
      <c r="F69" s="511">
        <f t="shared" si="14"/>
        <v>0</v>
      </c>
      <c r="G69" s="524">
        <f t="shared" si="15"/>
        <v>0</v>
      </c>
      <c r="H69" s="478">
        <f t="shared" si="16"/>
        <v>0</v>
      </c>
      <c r="I69" s="501">
        <f t="shared" si="1"/>
        <v>0</v>
      </c>
      <c r="J69" s="501"/>
      <c r="K69" s="513"/>
      <c r="L69" s="505">
        <f t="shared" si="2"/>
        <v>0</v>
      </c>
      <c r="M69" s="513"/>
      <c r="N69" s="505">
        <f t="shared" si="3"/>
        <v>0</v>
      </c>
      <c r="O69" s="505">
        <f t="shared" si="4"/>
        <v>0</v>
      </c>
      <c r="P69" s="279"/>
    </row>
    <row r="70" spans="2:16" ht="12.5">
      <c r="B70" s="145" t="str">
        <f t="shared" si="0"/>
        <v/>
      </c>
      <c r="C70" s="496">
        <f>IF(D11="","-",+C69+1)</f>
        <v>2071</v>
      </c>
      <c r="D70" s="509">
        <f>IF(F69+SUM(E$17:E69)=D$10,F69,D$10-SUM(E$17:E69))</f>
        <v>0</v>
      </c>
      <c r="E70" s="510">
        <f t="shared" si="13"/>
        <v>0</v>
      </c>
      <c r="F70" s="511">
        <f t="shared" si="14"/>
        <v>0</v>
      </c>
      <c r="G70" s="524">
        <f t="shared" si="15"/>
        <v>0</v>
      </c>
      <c r="H70" s="478">
        <f t="shared" si="16"/>
        <v>0</v>
      </c>
      <c r="I70" s="501">
        <f t="shared" si="1"/>
        <v>0</v>
      </c>
      <c r="J70" s="501"/>
      <c r="K70" s="513"/>
      <c r="L70" s="505">
        <f t="shared" si="2"/>
        <v>0</v>
      </c>
      <c r="M70" s="513"/>
      <c r="N70" s="505">
        <f t="shared" si="3"/>
        <v>0</v>
      </c>
      <c r="O70" s="505">
        <f t="shared" si="4"/>
        <v>0</v>
      </c>
      <c r="P70" s="279"/>
    </row>
    <row r="71" spans="2:16" ht="12.5">
      <c r="B71" s="145" t="str">
        <f t="shared" si="0"/>
        <v/>
      </c>
      <c r="C71" s="496">
        <f>IF(D11="","-",+C70+1)</f>
        <v>2072</v>
      </c>
      <c r="D71" s="509">
        <f>IF(F70+SUM(E$17:E70)=D$10,F70,D$10-SUM(E$17:E70))</f>
        <v>0</v>
      </c>
      <c r="E71" s="510">
        <f t="shared" si="13"/>
        <v>0</v>
      </c>
      <c r="F71" s="511">
        <f t="shared" si="14"/>
        <v>0</v>
      </c>
      <c r="G71" s="524">
        <f t="shared" si="15"/>
        <v>0</v>
      </c>
      <c r="H71" s="478">
        <f t="shared" si="16"/>
        <v>0</v>
      </c>
      <c r="I71" s="501">
        <f t="shared" si="1"/>
        <v>0</v>
      </c>
      <c r="J71" s="501"/>
      <c r="K71" s="513"/>
      <c r="L71" s="505">
        <f t="shared" si="2"/>
        <v>0</v>
      </c>
      <c r="M71" s="513"/>
      <c r="N71" s="505">
        <f t="shared" si="3"/>
        <v>0</v>
      </c>
      <c r="O71" s="505">
        <f t="shared" si="4"/>
        <v>0</v>
      </c>
      <c r="P71" s="279"/>
    </row>
    <row r="72" spans="2:16" ht="12.5">
      <c r="C72" s="496">
        <f>IF(D12="","-",+C71+1)</f>
        <v>2073</v>
      </c>
      <c r="D72" s="509">
        <f>IF(F71+SUM(E$17:E71)=D$10,F71,D$10-SUM(E$17:E71))</f>
        <v>0</v>
      </c>
      <c r="E72" s="510">
        <f>IF(+I$14&lt;F71,I$14,D72)</f>
        <v>0</v>
      </c>
      <c r="F72" s="511">
        <f>+D72-E72</f>
        <v>0</v>
      </c>
      <c r="G72" s="524">
        <f>(D72+F72)/2*I$12+E72</f>
        <v>0</v>
      </c>
      <c r="H72" s="478">
        <f>+(D72+F72)/2*I$13+E72</f>
        <v>0</v>
      </c>
      <c r="I72" s="501">
        <f>H72-G72</f>
        <v>0</v>
      </c>
      <c r="J72" s="501"/>
      <c r="K72" s="513"/>
      <c r="L72" s="505">
        <f>IF(K72&lt;&gt;0,+G72-K72,0)</f>
        <v>0</v>
      </c>
      <c r="M72" s="513"/>
      <c r="N72" s="505">
        <f>IF(M72&lt;&gt;0,+H72-M72,0)</f>
        <v>0</v>
      </c>
      <c r="O72" s="505">
        <f>+N72-L72</f>
        <v>0</v>
      </c>
      <c r="P72" s="279"/>
    </row>
    <row r="73" spans="2:16" ht="13" thickBot="1">
      <c r="B73" s="145" t="str">
        <f>IF(D73=F71,"","IU")</f>
        <v/>
      </c>
      <c r="C73" s="525">
        <f>IF(D13="","-",+C72+1)</f>
        <v>2074</v>
      </c>
      <c r="D73" s="527">
        <f>IF(F72+SUM(E$17:E72)=D$10,F72,D$10-SUM(E$17:E72))</f>
        <v>0</v>
      </c>
      <c r="E73" s="527">
        <f>IF(+I$14&lt;F72,I$14,D73)</f>
        <v>0</v>
      </c>
      <c r="F73" s="528">
        <f>+D73-E73</f>
        <v>0</v>
      </c>
      <c r="G73" s="529">
        <f>(D73+F73)/2*I$12+E73</f>
        <v>0</v>
      </c>
      <c r="H73" s="459">
        <f>+(D73+F73)/2*I$13+E73</f>
        <v>0</v>
      </c>
      <c r="I73" s="530">
        <f>H73-G73</f>
        <v>0</v>
      </c>
      <c r="J73" s="501"/>
      <c r="K73" s="531"/>
      <c r="L73" s="532">
        <f>IF(K73&lt;&gt;0,+G73-K73,0)</f>
        <v>0</v>
      </c>
      <c r="M73" s="531"/>
      <c r="N73" s="532">
        <f>IF(M73&lt;&gt;0,+H73-M73,0)</f>
        <v>0</v>
      </c>
      <c r="O73" s="532">
        <f>+N73-L73</f>
        <v>0</v>
      </c>
      <c r="P73" s="279"/>
    </row>
    <row r="74" spans="2:16" ht="12.5">
      <c r="C74" s="350" t="s">
        <v>75</v>
      </c>
      <c r="D74" s="295"/>
      <c r="E74" s="295">
        <f>SUM(E17:E73)</f>
        <v>8934664</v>
      </c>
      <c r="F74" s="295"/>
      <c r="G74" s="295">
        <f>SUM(G17:G73)</f>
        <v>30598220.209703173</v>
      </c>
      <c r="H74" s="295">
        <f>SUM(H17:H73)</f>
        <v>30598220.209703173</v>
      </c>
      <c r="I74" s="295">
        <f>SUM(I17:I73)</f>
        <v>0</v>
      </c>
      <c r="J74" s="295"/>
      <c r="K74" s="295"/>
      <c r="L74" s="295"/>
      <c r="M74" s="295"/>
      <c r="N74" s="295"/>
      <c r="O74" s="279"/>
      <c r="P74" s="279"/>
    </row>
    <row r="75" spans="2:16" ht="12.5">
      <c r="D75" s="293"/>
      <c r="E75" s="244"/>
      <c r="F75" s="244"/>
      <c r="G75" s="244"/>
      <c r="H75" s="326"/>
      <c r="I75" s="326"/>
      <c r="J75" s="295"/>
      <c r="K75" s="326"/>
      <c r="L75" s="326"/>
      <c r="M75" s="326"/>
      <c r="N75" s="326"/>
      <c r="O75" s="244"/>
      <c r="P75" s="244"/>
    </row>
    <row r="76" spans="2:16" ht="13">
      <c r="C76" s="533" t="s">
        <v>95</v>
      </c>
      <c r="D76" s="293"/>
      <c r="E76" s="244"/>
      <c r="F76" s="244"/>
      <c r="G76" s="244"/>
      <c r="H76" s="326"/>
      <c r="I76" s="326"/>
      <c r="J76" s="295"/>
      <c r="K76" s="326"/>
      <c r="L76" s="326"/>
      <c r="M76" s="326"/>
      <c r="N76" s="326"/>
      <c r="O76" s="244"/>
      <c r="P76" s="244"/>
    </row>
    <row r="77" spans="2:16" ht="13">
      <c r="C77" s="455" t="s">
        <v>76</v>
      </c>
      <c r="D77" s="293"/>
      <c r="E77" s="244"/>
      <c r="F77" s="244"/>
      <c r="G77" s="244"/>
      <c r="H77" s="326"/>
      <c r="I77" s="326"/>
      <c r="J77" s="295"/>
      <c r="K77" s="326"/>
      <c r="L77" s="326"/>
      <c r="M77" s="326"/>
      <c r="N77" s="326"/>
      <c r="O77" s="279"/>
      <c r="P77" s="279"/>
    </row>
    <row r="78" spans="2:16" ht="13">
      <c r="C78" s="455" t="s">
        <v>77</v>
      </c>
      <c r="D78" s="350"/>
      <c r="E78" s="350"/>
      <c r="F78" s="350"/>
      <c r="G78" s="295"/>
      <c r="H78" s="295"/>
      <c r="I78" s="351"/>
      <c r="J78" s="351"/>
      <c r="K78" s="351"/>
      <c r="L78" s="351"/>
      <c r="M78" s="351"/>
      <c r="N78" s="351"/>
      <c r="O78" s="279"/>
      <c r="P78" s="279"/>
    </row>
    <row r="79" spans="2:16" ht="13">
      <c r="C79" s="455"/>
      <c r="D79" s="350"/>
      <c r="E79" s="350"/>
      <c r="F79" s="350"/>
      <c r="G79" s="295"/>
      <c r="H79" s="295"/>
      <c r="I79" s="351"/>
      <c r="J79" s="351"/>
      <c r="K79" s="351"/>
      <c r="L79" s="351"/>
      <c r="M79" s="351"/>
      <c r="N79" s="351"/>
      <c r="O79" s="279"/>
      <c r="P79" s="244"/>
    </row>
    <row r="80" spans="2:16" ht="12.5">
      <c r="B80" s="244"/>
      <c r="C80" s="249"/>
      <c r="D80" s="293"/>
      <c r="E80" s="244"/>
      <c r="F80" s="348"/>
      <c r="G80" s="244"/>
      <c r="H80" s="326"/>
      <c r="I80" s="244"/>
      <c r="J80" s="279"/>
      <c r="K80" s="244"/>
      <c r="L80" s="244"/>
      <c r="M80" s="244"/>
      <c r="N80" s="244"/>
      <c r="O80" s="244"/>
      <c r="P80" s="244"/>
    </row>
    <row r="81" spans="1:16" ht="17.5">
      <c r="B81" s="244"/>
      <c r="C81" s="536"/>
      <c r="D81" s="293"/>
      <c r="E81" s="244"/>
      <c r="F81" s="348"/>
      <c r="G81" s="244"/>
      <c r="H81" s="326"/>
      <c r="I81" s="244"/>
      <c r="J81" s="279"/>
      <c r="K81" s="244"/>
      <c r="L81" s="244"/>
      <c r="M81" s="244"/>
      <c r="N81" s="244"/>
      <c r="P81" s="537" t="s">
        <v>128</v>
      </c>
    </row>
    <row r="82" spans="1:16" ht="12.5">
      <c r="B82" s="244"/>
      <c r="C82" s="249"/>
      <c r="D82" s="293"/>
      <c r="E82" s="244"/>
      <c r="F82" s="348"/>
      <c r="G82" s="244"/>
      <c r="H82" s="326"/>
      <c r="I82" s="244"/>
      <c r="J82" s="279"/>
      <c r="K82" s="244"/>
      <c r="L82" s="244"/>
      <c r="M82" s="244"/>
      <c r="N82" s="244"/>
      <c r="O82" s="244"/>
      <c r="P82" s="244"/>
    </row>
    <row r="83" spans="1:16" ht="12.5">
      <c r="B83" s="244"/>
      <c r="C83" s="249"/>
      <c r="D83" s="293"/>
      <c r="E83" s="244"/>
      <c r="F83" s="348"/>
      <c r="G83" s="244"/>
      <c r="H83" s="326"/>
      <c r="I83" s="244"/>
      <c r="J83" s="279"/>
      <c r="K83" s="244"/>
      <c r="L83" s="244"/>
      <c r="M83" s="244"/>
      <c r="N83" s="244"/>
      <c r="O83" s="244"/>
      <c r="P83" s="244"/>
    </row>
    <row r="84" spans="1:16" ht="20">
      <c r="A84" s="438" t="s">
        <v>190</v>
      </c>
      <c r="B84" s="244"/>
      <c r="C84" s="249"/>
      <c r="D84" s="293"/>
      <c r="E84" s="244"/>
      <c r="F84" s="340"/>
      <c r="G84" s="340"/>
      <c r="H84" s="244"/>
      <c r="I84" s="326"/>
      <c r="K84" s="221"/>
      <c r="L84" s="439"/>
      <c r="M84" s="439"/>
      <c r="P84" s="439" t="str">
        <f ca="1">P1</f>
        <v>OKT Project 18 of 19</v>
      </c>
    </row>
    <row r="85" spans="1:16" ht="17.5">
      <c r="B85" s="244"/>
      <c r="C85" s="244"/>
      <c r="D85" s="293"/>
      <c r="E85" s="244"/>
      <c r="F85" s="244"/>
      <c r="G85" s="244"/>
      <c r="H85" s="244"/>
      <c r="I85" s="326"/>
      <c r="J85" s="244"/>
      <c r="K85" s="279"/>
      <c r="L85" s="244"/>
      <c r="M85" s="244"/>
      <c r="P85" s="442" t="s">
        <v>132</v>
      </c>
    </row>
    <row r="86" spans="1:16" ht="17.5" thickBot="1">
      <c r="B86" s="234" t="s">
        <v>42</v>
      </c>
      <c r="C86" s="538" t="s">
        <v>81</v>
      </c>
      <c r="D86" s="293"/>
      <c r="E86" s="244"/>
      <c r="F86" s="244"/>
      <c r="G86" s="244"/>
      <c r="H86" s="244"/>
      <c r="I86" s="326"/>
      <c r="J86" s="326"/>
      <c r="K86" s="295"/>
      <c r="L86" s="326"/>
      <c r="M86" s="326"/>
      <c r="N86" s="326"/>
      <c r="O86" s="295"/>
      <c r="P86" s="244"/>
    </row>
    <row r="87" spans="1:16" ht="16" thickBot="1">
      <c r="C87" s="305"/>
      <c r="D87" s="293"/>
      <c r="E87" s="244"/>
      <c r="F87" s="244"/>
      <c r="G87" s="244"/>
      <c r="H87" s="244"/>
      <c r="I87" s="326"/>
      <c r="J87" s="326"/>
      <c r="K87" s="295"/>
      <c r="L87" s="539">
        <f>+J93</f>
        <v>2019</v>
      </c>
      <c r="M87" s="540" t="s">
        <v>9</v>
      </c>
      <c r="N87" s="541" t="s">
        <v>134</v>
      </c>
      <c r="O87" s="542" t="s">
        <v>11</v>
      </c>
      <c r="P87" s="244"/>
    </row>
    <row r="88" spans="1:16" ht="15.5">
      <c r="C88" s="233" t="s">
        <v>44</v>
      </c>
      <c r="D88" s="293"/>
      <c r="E88" s="244"/>
      <c r="F88" s="244"/>
      <c r="G88" s="244"/>
      <c r="H88" s="445"/>
      <c r="I88" s="244" t="s">
        <v>45</v>
      </c>
      <c r="J88" s="244"/>
      <c r="K88" s="543"/>
      <c r="L88" s="544" t="s">
        <v>253</v>
      </c>
      <c r="M88" s="545">
        <f>IF(J93&lt;D11,0,VLOOKUP(J93,C17:O73,9))</f>
        <v>1134524.7126540036</v>
      </c>
      <c r="N88" s="545">
        <f>IF(J93&lt;D11,0,VLOOKUP(J93,C17:O73,11))</f>
        <v>1134524.7126540036</v>
      </c>
      <c r="O88" s="546">
        <f>+N88-M88</f>
        <v>0</v>
      </c>
      <c r="P88" s="244"/>
    </row>
    <row r="89" spans="1:16" ht="15.5">
      <c r="C89" s="236"/>
      <c r="D89" s="293"/>
      <c r="E89" s="244"/>
      <c r="F89" s="244"/>
      <c r="G89" s="244"/>
      <c r="H89" s="244"/>
      <c r="I89" s="450"/>
      <c r="J89" s="450"/>
      <c r="K89" s="547"/>
      <c r="L89" s="548" t="s">
        <v>254</v>
      </c>
      <c r="M89" s="549">
        <f>IF(J93&lt;D11,0,VLOOKUP(J93,C100:P155,6))</f>
        <v>1204093.3853422152</v>
      </c>
      <c r="N89" s="549">
        <f>IF(J93&lt;D11,0,VLOOKUP(J93,C100:P155,7))</f>
        <v>1204093.3853422152</v>
      </c>
      <c r="O89" s="550">
        <f>+N89-M89</f>
        <v>0</v>
      </c>
      <c r="P89" s="244"/>
    </row>
    <row r="90" spans="1:16" ht="13.5" thickBot="1">
      <c r="C90" s="455" t="s">
        <v>82</v>
      </c>
      <c r="D90" s="551" t="str">
        <f>+D7</f>
        <v>Duncan-Comanche Tap 69 KV Rebuild</v>
      </c>
      <c r="E90" s="244"/>
      <c r="F90" s="244"/>
      <c r="G90" s="244"/>
      <c r="H90" s="244"/>
      <c r="I90" s="326"/>
      <c r="J90" s="326"/>
      <c r="K90" s="552"/>
      <c r="L90" s="553" t="s">
        <v>135</v>
      </c>
      <c r="M90" s="554">
        <f>+M89-M88</f>
        <v>69568.672688211547</v>
      </c>
      <c r="N90" s="554">
        <f>+N89-N88</f>
        <v>69568.672688211547</v>
      </c>
      <c r="O90" s="555">
        <f>+O89-O88</f>
        <v>0</v>
      </c>
      <c r="P90" s="244"/>
    </row>
    <row r="91" spans="1:16" ht="13.5" thickBot="1">
      <c r="C91" s="533"/>
      <c r="D91" s="556" t="str">
        <f>IF(D8="","",D8)</f>
        <v/>
      </c>
      <c r="E91" s="348"/>
      <c r="F91" s="348"/>
      <c r="G91" s="348"/>
      <c r="H91" s="462"/>
      <c r="I91" s="326"/>
      <c r="J91" s="326"/>
      <c r="K91" s="295"/>
      <c r="L91" s="326"/>
      <c r="M91" s="326"/>
      <c r="N91" s="326"/>
      <c r="O91" s="295"/>
      <c r="P91" s="244"/>
    </row>
    <row r="92" spans="1:16" ht="13.5" thickBot="1">
      <c r="A92" s="152"/>
      <c r="C92" s="557" t="s">
        <v>83</v>
      </c>
      <c r="D92" s="558" t="str">
        <f>+D9</f>
        <v>TP 2015191</v>
      </c>
      <c r="E92" s="559"/>
      <c r="F92" s="559"/>
      <c r="G92" s="559"/>
      <c r="H92" s="559"/>
      <c r="I92" s="559"/>
      <c r="J92" s="559"/>
      <c r="K92" s="561"/>
      <c r="P92" s="469"/>
    </row>
    <row r="93" spans="1:16" ht="13">
      <c r="C93" s="473" t="s">
        <v>49</v>
      </c>
      <c r="D93" s="475">
        <v>8934664</v>
      </c>
      <c r="E93" s="249" t="s">
        <v>84</v>
      </c>
      <c r="H93" s="409"/>
      <c r="I93" s="409"/>
      <c r="J93" s="472">
        <f>+'OKT.WS.G.BPU.ATRR.True-up'!M16</f>
        <v>2019</v>
      </c>
      <c r="K93" s="468"/>
      <c r="L93" s="295" t="s">
        <v>85</v>
      </c>
      <c r="P93" s="279"/>
    </row>
    <row r="94" spans="1:16" ht="12.5">
      <c r="C94" s="473" t="s">
        <v>52</v>
      </c>
      <c r="D94" s="562">
        <f>IF(D11="","",D11)</f>
        <v>2018</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row>
    <row r="95" spans="1:16" ht="12.5">
      <c r="C95" s="473" t="s">
        <v>54</v>
      </c>
      <c r="D95" s="562">
        <f>IF(D12="","",D12)</f>
        <v>5</v>
      </c>
      <c r="E95" s="473" t="s">
        <v>55</v>
      </c>
      <c r="F95" s="409"/>
      <c r="G95" s="409"/>
      <c r="J95" s="477">
        <f>'OKT.WS.G.BPU.ATRR.True-up'!$F$81</f>
        <v>0.10800922592579221</v>
      </c>
      <c r="K95" s="414"/>
      <c r="L95" s="145" t="s">
        <v>86</v>
      </c>
      <c r="P95" s="279"/>
    </row>
    <row r="96" spans="1:16" ht="12.5">
      <c r="C96" s="473" t="s">
        <v>57</v>
      </c>
      <c r="D96" s="475">
        <f>'OKT.WS.G.BPU.ATRR.True-up'!F$93</f>
        <v>33</v>
      </c>
      <c r="E96" s="473" t="s">
        <v>58</v>
      </c>
      <c r="F96" s="409"/>
      <c r="G96" s="409"/>
      <c r="J96" s="477">
        <f>IF(H88="",J95,'OKT.WS.G.BPU.ATRR.True-up'!$F$80)</f>
        <v>0.10800922592579221</v>
      </c>
      <c r="K96" s="292"/>
      <c r="L96" s="295" t="s">
        <v>59</v>
      </c>
      <c r="M96" s="292"/>
      <c r="N96" s="292"/>
      <c r="O96" s="292"/>
      <c r="P96" s="279"/>
    </row>
    <row r="97" spans="1:16" ht="13" thickBot="1">
      <c r="C97" s="473" t="s">
        <v>60</v>
      </c>
      <c r="D97" s="563" t="str">
        <f>+D14</f>
        <v>No</v>
      </c>
      <c r="E97" s="564" t="s">
        <v>62</v>
      </c>
      <c r="F97" s="565"/>
      <c r="G97" s="565"/>
      <c r="H97" s="566"/>
      <c r="I97" s="566"/>
      <c r="J97" s="459">
        <f>IF(D93=0,0,D93/D96)</f>
        <v>270747.39393939392</v>
      </c>
      <c r="K97" s="295"/>
      <c r="L97" s="295"/>
      <c r="M97" s="295"/>
      <c r="N97" s="295"/>
      <c r="O97" s="295"/>
      <c r="P97" s="279"/>
    </row>
    <row r="98" spans="1:16"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row>
    <row r="99" spans="1:16" ht="13.5" thickBot="1">
      <c r="C99" s="487" t="s">
        <v>68</v>
      </c>
      <c r="D99" s="570" t="s">
        <v>69</v>
      </c>
      <c r="E99" s="487" t="s">
        <v>70</v>
      </c>
      <c r="F99" s="487" t="s">
        <v>69</v>
      </c>
      <c r="G99" s="487" t="s">
        <v>69</v>
      </c>
      <c r="H99" s="494" t="s">
        <v>71</v>
      </c>
      <c r="I99" s="490" t="s">
        <v>72</v>
      </c>
      <c r="J99" s="491" t="s">
        <v>93</v>
      </c>
      <c r="K99" s="492"/>
      <c r="L99" s="493" t="s">
        <v>74</v>
      </c>
      <c r="M99" s="493" t="s">
        <v>74</v>
      </c>
      <c r="N99" s="493" t="s">
        <v>94</v>
      </c>
      <c r="O99" s="493" t="s">
        <v>94</v>
      </c>
      <c r="P99" s="493" t="s">
        <v>94</v>
      </c>
    </row>
    <row r="100" spans="1:16" ht="12.5">
      <c r="B100" s="145" t="str">
        <f t="shared" ref="B100:B155" si="17">IF(D100=F99,"","IU")</f>
        <v>IU</v>
      </c>
      <c r="C100" s="496">
        <f>IF(D94= "","-",D94)</f>
        <v>2018</v>
      </c>
      <c r="D100" s="497">
        <f>IF(D94=C100,0,IF(D93&lt;100000,0,D93))</f>
        <v>0</v>
      </c>
      <c r="E100" s="499">
        <f>IF(D93&lt;100000,0,J$97/12*(12-D95))</f>
        <v>157935.97979797979</v>
      </c>
      <c r="F100" s="506">
        <f>IF(D94=C100,+D93-E100,+D100-E100)</f>
        <v>8776728.0202020202</v>
      </c>
      <c r="G100" s="506">
        <f>+(F100+D100)/2</f>
        <v>4388364.0101010101</v>
      </c>
      <c r="H100" s="499">
        <f t="shared" ref="H100:H155" si="18">+J$95*G100+E100</f>
        <v>631919.77960959531</v>
      </c>
      <c r="I100" s="500">
        <f>+J$96*G100+E100</f>
        <v>631919.77960959531</v>
      </c>
      <c r="J100" s="505">
        <f t="shared" ref="J100:J131" si="19">+I100-H100</f>
        <v>0</v>
      </c>
      <c r="K100" s="505"/>
      <c r="L100" s="507">
        <f>+H100</f>
        <v>631919.77960959531</v>
      </c>
      <c r="M100" s="505">
        <f t="shared" ref="M100:M101" si="20">IF(L100&lt;&gt;0,+H100-L100,0)</f>
        <v>0</v>
      </c>
      <c r="N100" s="507">
        <f>+I100</f>
        <v>631919.77960959531</v>
      </c>
      <c r="O100" s="587">
        <f t="shared" ref="O100:O101" si="21">IF(N100&lt;&gt;0,+I100-N100,0)</f>
        <v>0</v>
      </c>
      <c r="P100" s="505">
        <f t="shared" ref="P100" si="22">+O100-M100</f>
        <v>0</v>
      </c>
    </row>
    <row r="101" spans="1:16" ht="12.5">
      <c r="B101" s="145" t="str">
        <f t="shared" si="17"/>
        <v/>
      </c>
      <c r="C101" s="496">
        <f>IF(D94="","-",+C100+1)</f>
        <v>2019</v>
      </c>
      <c r="D101" s="350">
        <f>IF(F100+SUM(E$100:E100)=D$93,F100,D$93-SUM(E$100:E100))</f>
        <v>8776728.0202020202</v>
      </c>
      <c r="E101" s="510">
        <f t="shared" ref="E101" si="23">IF(+J$97&lt;F100,J$97,D101)</f>
        <v>270747.39393939392</v>
      </c>
      <c r="F101" s="511">
        <f t="shared" ref="F101" si="24">+D101-E101</f>
        <v>8505980.6262626257</v>
      </c>
      <c r="G101" s="511">
        <f t="shared" ref="G101" si="25">+(F101+D101)/2</f>
        <v>8641354.3232323229</v>
      </c>
      <c r="H101" s="628">
        <f t="shared" si="18"/>
        <v>1204093.3853422152</v>
      </c>
      <c r="I101" s="629">
        <f t="shared" ref="I101" si="26">+J$96*G101+E101</f>
        <v>1204093.3853422152</v>
      </c>
      <c r="J101" s="505">
        <f t="shared" si="19"/>
        <v>0</v>
      </c>
      <c r="K101" s="505"/>
      <c r="L101" s="513"/>
      <c r="M101" s="505">
        <f t="shared" si="20"/>
        <v>0</v>
      </c>
      <c r="N101" s="513"/>
      <c r="O101" s="505">
        <f t="shared" si="21"/>
        <v>0</v>
      </c>
      <c r="P101" s="505">
        <f>+O101-M101</f>
        <v>0</v>
      </c>
    </row>
    <row r="102" spans="1:16" ht="12.5">
      <c r="B102" s="145" t="str">
        <f t="shared" si="17"/>
        <v/>
      </c>
      <c r="C102" s="496">
        <f>IF(D94="","-",+C101+1)</f>
        <v>2020</v>
      </c>
      <c r="D102" s="350">
        <f>IF(F101+SUM(E$100:E101)=D$93,F101,D$93-SUM(E$100:E101))</f>
        <v>8505980.6262626257</v>
      </c>
      <c r="E102" s="510">
        <f t="shared" ref="E102" si="27">IF(+J$97&lt;F101,J$97,D102)</f>
        <v>270747.39393939392</v>
      </c>
      <c r="F102" s="511">
        <f t="shared" ref="F102" si="28">+D102-E102</f>
        <v>8235233.2323232321</v>
      </c>
      <c r="G102" s="511">
        <f t="shared" ref="G102" si="29">+(F102+D102)/2</f>
        <v>8370606.9292929284</v>
      </c>
      <c r="H102" s="628">
        <f t="shared" ref="H102" si="30">+J$95*G102+E102</f>
        <v>1174850.1689013955</v>
      </c>
      <c r="I102" s="629">
        <f t="shared" ref="I102" si="31">+J$96*G102+E102</f>
        <v>1174850.1689013955</v>
      </c>
      <c r="J102" s="505">
        <f t="shared" si="19"/>
        <v>0</v>
      </c>
      <c r="K102" s="505"/>
      <c r="L102" s="513"/>
      <c r="M102" s="505">
        <f t="shared" ref="M102" si="32">IF(L102&lt;&gt;0,+H102-L102,0)</f>
        <v>0</v>
      </c>
      <c r="N102" s="513"/>
      <c r="O102" s="505">
        <f t="shared" ref="O102" si="33">IF(N102&lt;&gt;0,+I102-N102,0)</f>
        <v>0</v>
      </c>
      <c r="P102" s="505">
        <f>+O102-M102</f>
        <v>0</v>
      </c>
    </row>
    <row r="103" spans="1:16" ht="12.5">
      <c r="B103" s="145" t="str">
        <f t="shared" si="17"/>
        <v/>
      </c>
      <c r="C103" s="496">
        <f>IF(D94="","-",+C102+1)</f>
        <v>2021</v>
      </c>
      <c r="D103" s="350">
        <f>IF(F102+SUM(E$100:E102)=D$93,F102,D$93-SUM(E$100:E102))</f>
        <v>8235233.2323232321</v>
      </c>
      <c r="E103" s="510">
        <f t="shared" ref="E103:E155" si="34">IF(+J$97&lt;F102,J$97,D103)</f>
        <v>270747.39393939392</v>
      </c>
      <c r="F103" s="511">
        <f t="shared" ref="F103:F155" si="35">+D103-E103</f>
        <v>7964485.8383838385</v>
      </c>
      <c r="G103" s="511">
        <f t="shared" ref="G103:G155" si="36">+(F103+D103)/2</f>
        <v>8099859.5353535358</v>
      </c>
      <c r="H103" s="628">
        <f t="shared" si="18"/>
        <v>1145606.9524605763</v>
      </c>
      <c r="I103" s="629">
        <f t="shared" ref="I103:I155" si="37">+J$96*G103+E103</f>
        <v>1145606.9524605763</v>
      </c>
      <c r="J103" s="505">
        <f t="shared" si="19"/>
        <v>0</v>
      </c>
      <c r="K103" s="505"/>
      <c r="L103" s="513"/>
      <c r="M103" s="505">
        <f t="shared" ref="M103:M131" si="38">IF(L103&lt;&gt;0,+H103-L103,0)</f>
        <v>0</v>
      </c>
      <c r="N103" s="513"/>
      <c r="O103" s="505">
        <f t="shared" ref="O103:O131" si="39">IF(N103&lt;&gt;0,+I103-N103,0)</f>
        <v>0</v>
      </c>
      <c r="P103" s="505">
        <f t="shared" ref="P103:P131" si="40">+O103-M103</f>
        <v>0</v>
      </c>
    </row>
    <row r="104" spans="1:16" ht="12.5">
      <c r="B104" s="145" t="str">
        <f t="shared" si="17"/>
        <v/>
      </c>
      <c r="C104" s="496">
        <f>IF(D94="","-",+C103+1)</f>
        <v>2022</v>
      </c>
      <c r="D104" s="350">
        <f>IF(F103+SUM(E$100:E103)=D$93,F103,D$93-SUM(E$100:E103))</f>
        <v>7964485.8383838385</v>
      </c>
      <c r="E104" s="510">
        <f t="shared" si="34"/>
        <v>270747.39393939392</v>
      </c>
      <c r="F104" s="511">
        <f t="shared" si="35"/>
        <v>7693738.444444445</v>
      </c>
      <c r="G104" s="511">
        <f t="shared" si="36"/>
        <v>7829112.1414141413</v>
      </c>
      <c r="H104" s="628">
        <f t="shared" si="18"/>
        <v>1116363.7360197566</v>
      </c>
      <c r="I104" s="629">
        <f t="shared" si="37"/>
        <v>1116363.7360197566</v>
      </c>
      <c r="J104" s="505">
        <f t="shared" si="19"/>
        <v>0</v>
      </c>
      <c r="K104" s="505"/>
      <c r="L104" s="513"/>
      <c r="M104" s="505">
        <f t="shared" si="38"/>
        <v>0</v>
      </c>
      <c r="N104" s="513"/>
      <c r="O104" s="505">
        <f t="shared" si="39"/>
        <v>0</v>
      </c>
      <c r="P104" s="505">
        <f t="shared" si="40"/>
        <v>0</v>
      </c>
    </row>
    <row r="105" spans="1:16" ht="12.5">
      <c r="B105" s="145" t="str">
        <f t="shared" si="17"/>
        <v/>
      </c>
      <c r="C105" s="496">
        <f>IF(D94="","-",+C104+1)</f>
        <v>2023</v>
      </c>
      <c r="D105" s="350">
        <f>IF(F104+SUM(E$100:E104)=D$93,F104,D$93-SUM(E$100:E104))</f>
        <v>7693738.444444445</v>
      </c>
      <c r="E105" s="510">
        <f t="shared" si="34"/>
        <v>270747.39393939392</v>
      </c>
      <c r="F105" s="511">
        <f t="shared" si="35"/>
        <v>7422991.0505050514</v>
      </c>
      <c r="G105" s="511">
        <f t="shared" si="36"/>
        <v>7558364.7474747486</v>
      </c>
      <c r="H105" s="628">
        <f t="shared" si="18"/>
        <v>1087120.5195789374</v>
      </c>
      <c r="I105" s="629">
        <f t="shared" si="37"/>
        <v>1087120.5195789374</v>
      </c>
      <c r="J105" s="505">
        <f t="shared" si="19"/>
        <v>0</v>
      </c>
      <c r="K105" s="505"/>
      <c r="L105" s="513"/>
      <c r="M105" s="505">
        <f t="shared" si="38"/>
        <v>0</v>
      </c>
      <c r="N105" s="513"/>
      <c r="O105" s="505">
        <f t="shared" si="39"/>
        <v>0</v>
      </c>
      <c r="P105" s="505">
        <f t="shared" si="40"/>
        <v>0</v>
      </c>
    </row>
    <row r="106" spans="1:16" ht="12.5">
      <c r="B106" s="145" t="str">
        <f t="shared" si="17"/>
        <v/>
      </c>
      <c r="C106" s="496">
        <f>IF(D94="","-",+C105+1)</f>
        <v>2024</v>
      </c>
      <c r="D106" s="350">
        <f>IF(F105+SUM(E$100:E105)=D$93,F105,D$93-SUM(E$100:E105))</f>
        <v>7422991.0505050514</v>
      </c>
      <c r="E106" s="510">
        <f t="shared" si="34"/>
        <v>270747.39393939392</v>
      </c>
      <c r="F106" s="511">
        <f t="shared" si="35"/>
        <v>7152243.6565656578</v>
      </c>
      <c r="G106" s="511">
        <f t="shared" si="36"/>
        <v>7287617.3535353541</v>
      </c>
      <c r="H106" s="628">
        <f t="shared" si="18"/>
        <v>1057877.3031381178</v>
      </c>
      <c r="I106" s="629">
        <f t="shared" si="37"/>
        <v>1057877.3031381178</v>
      </c>
      <c r="J106" s="505">
        <f t="shared" si="19"/>
        <v>0</v>
      </c>
      <c r="K106" s="505"/>
      <c r="L106" s="513"/>
      <c r="M106" s="505">
        <f t="shared" si="38"/>
        <v>0</v>
      </c>
      <c r="N106" s="513"/>
      <c r="O106" s="505">
        <f t="shared" si="39"/>
        <v>0</v>
      </c>
      <c r="P106" s="505">
        <f t="shared" si="40"/>
        <v>0</v>
      </c>
    </row>
    <row r="107" spans="1:16" ht="12.5">
      <c r="B107" s="145" t="str">
        <f t="shared" si="17"/>
        <v/>
      </c>
      <c r="C107" s="496">
        <f>IF(D94="","-",+C106+1)</f>
        <v>2025</v>
      </c>
      <c r="D107" s="350">
        <f>IF(F106+SUM(E$100:E106)=D$93,F106,D$93-SUM(E$100:E106))</f>
        <v>7152243.6565656578</v>
      </c>
      <c r="E107" s="510">
        <f t="shared" si="34"/>
        <v>270747.39393939392</v>
      </c>
      <c r="F107" s="511">
        <f t="shared" si="35"/>
        <v>6881496.2626262642</v>
      </c>
      <c r="G107" s="511">
        <f t="shared" si="36"/>
        <v>7016869.9595959615</v>
      </c>
      <c r="H107" s="628">
        <f t="shared" si="18"/>
        <v>1028634.0866972986</v>
      </c>
      <c r="I107" s="629">
        <f t="shared" si="37"/>
        <v>1028634.0866972986</v>
      </c>
      <c r="J107" s="505">
        <f t="shared" si="19"/>
        <v>0</v>
      </c>
      <c r="K107" s="505"/>
      <c r="L107" s="513"/>
      <c r="M107" s="505">
        <f t="shared" si="38"/>
        <v>0</v>
      </c>
      <c r="N107" s="513"/>
      <c r="O107" s="505">
        <f t="shared" si="39"/>
        <v>0</v>
      </c>
      <c r="P107" s="505">
        <f t="shared" si="40"/>
        <v>0</v>
      </c>
    </row>
    <row r="108" spans="1:16" ht="12.5">
      <c r="B108" s="145" t="str">
        <f t="shared" si="17"/>
        <v/>
      </c>
      <c r="C108" s="496">
        <f>IF(D94="","-",+C107+1)</f>
        <v>2026</v>
      </c>
      <c r="D108" s="350">
        <f>IF(F107+SUM(E$100:E107)=D$93,F107,D$93-SUM(E$100:E107))</f>
        <v>6881496.2626262642</v>
      </c>
      <c r="E108" s="510">
        <f t="shared" si="34"/>
        <v>270747.39393939392</v>
      </c>
      <c r="F108" s="511">
        <f t="shared" si="35"/>
        <v>6610748.8686868707</v>
      </c>
      <c r="G108" s="511">
        <f t="shared" si="36"/>
        <v>6746122.565656567</v>
      </c>
      <c r="H108" s="628">
        <f t="shared" si="18"/>
        <v>999390.87025647901</v>
      </c>
      <c r="I108" s="629">
        <f t="shared" si="37"/>
        <v>999390.87025647901</v>
      </c>
      <c r="J108" s="505">
        <f t="shared" si="19"/>
        <v>0</v>
      </c>
      <c r="K108" s="505"/>
      <c r="L108" s="513"/>
      <c r="M108" s="505">
        <f t="shared" si="38"/>
        <v>0</v>
      </c>
      <c r="N108" s="513"/>
      <c r="O108" s="505">
        <f t="shared" si="39"/>
        <v>0</v>
      </c>
      <c r="P108" s="505">
        <f t="shared" si="40"/>
        <v>0</v>
      </c>
    </row>
    <row r="109" spans="1:16" ht="12.5">
      <c r="B109" s="145" t="str">
        <f t="shared" si="17"/>
        <v/>
      </c>
      <c r="C109" s="496">
        <f>IF(D94="","-",+C108+1)</f>
        <v>2027</v>
      </c>
      <c r="D109" s="350">
        <f>IF(F108+SUM(E$100:E108)=D$93,F108,D$93-SUM(E$100:E108))</f>
        <v>6610748.8686868707</v>
      </c>
      <c r="E109" s="510">
        <f t="shared" si="34"/>
        <v>270747.39393939392</v>
      </c>
      <c r="F109" s="511">
        <f t="shared" si="35"/>
        <v>6340001.4747474771</v>
      </c>
      <c r="G109" s="511">
        <f t="shared" si="36"/>
        <v>6475375.1717171744</v>
      </c>
      <c r="H109" s="628">
        <f t="shared" si="18"/>
        <v>970147.65381565969</v>
      </c>
      <c r="I109" s="629">
        <f t="shared" si="37"/>
        <v>970147.65381565969</v>
      </c>
      <c r="J109" s="505">
        <f t="shared" si="19"/>
        <v>0</v>
      </c>
      <c r="K109" s="505"/>
      <c r="L109" s="513"/>
      <c r="M109" s="505">
        <f t="shared" si="38"/>
        <v>0</v>
      </c>
      <c r="N109" s="513"/>
      <c r="O109" s="505">
        <f t="shared" si="39"/>
        <v>0</v>
      </c>
      <c r="P109" s="505">
        <f t="shared" si="40"/>
        <v>0</v>
      </c>
    </row>
    <row r="110" spans="1:16" ht="12.5">
      <c r="B110" s="145" t="str">
        <f t="shared" si="17"/>
        <v/>
      </c>
      <c r="C110" s="496">
        <f>IF(D94="","-",+C109+1)</f>
        <v>2028</v>
      </c>
      <c r="D110" s="350">
        <f>IF(F109+SUM(E$100:E109)=D$93,F109,D$93-SUM(E$100:E109))</f>
        <v>6340001.4747474771</v>
      </c>
      <c r="E110" s="510">
        <f t="shared" si="34"/>
        <v>270747.39393939392</v>
      </c>
      <c r="F110" s="511">
        <f t="shared" si="35"/>
        <v>6069254.0808080835</v>
      </c>
      <c r="G110" s="511">
        <f t="shared" si="36"/>
        <v>6204627.7777777798</v>
      </c>
      <c r="H110" s="628">
        <f t="shared" si="18"/>
        <v>940904.43737484014</v>
      </c>
      <c r="I110" s="629">
        <f t="shared" si="37"/>
        <v>940904.43737484014</v>
      </c>
      <c r="J110" s="505">
        <f t="shared" si="19"/>
        <v>0</v>
      </c>
      <c r="K110" s="505"/>
      <c r="L110" s="513"/>
      <c r="M110" s="505">
        <f t="shared" si="38"/>
        <v>0</v>
      </c>
      <c r="N110" s="513"/>
      <c r="O110" s="505">
        <f t="shared" si="39"/>
        <v>0</v>
      </c>
      <c r="P110" s="505">
        <f t="shared" si="40"/>
        <v>0</v>
      </c>
    </row>
    <row r="111" spans="1:16" ht="12.5">
      <c r="B111" s="145" t="str">
        <f t="shared" si="17"/>
        <v/>
      </c>
      <c r="C111" s="496">
        <f>IF(D94="","-",+C110+1)</f>
        <v>2029</v>
      </c>
      <c r="D111" s="350">
        <f>IF(F110+SUM(E$100:E110)=D$93,F110,D$93-SUM(E$100:E110))</f>
        <v>6069254.0808080835</v>
      </c>
      <c r="E111" s="510">
        <f t="shared" si="34"/>
        <v>270747.39393939392</v>
      </c>
      <c r="F111" s="511">
        <f t="shared" si="35"/>
        <v>5798506.68686869</v>
      </c>
      <c r="G111" s="511">
        <f t="shared" si="36"/>
        <v>5933880.3838383872</v>
      </c>
      <c r="H111" s="628">
        <f t="shared" si="18"/>
        <v>911661.22093402082</v>
      </c>
      <c r="I111" s="629">
        <f t="shared" si="37"/>
        <v>911661.22093402082</v>
      </c>
      <c r="J111" s="505">
        <f t="shared" si="19"/>
        <v>0</v>
      </c>
      <c r="K111" s="505"/>
      <c r="L111" s="513"/>
      <c r="M111" s="505">
        <f t="shared" si="38"/>
        <v>0</v>
      </c>
      <c r="N111" s="513"/>
      <c r="O111" s="505">
        <f t="shared" si="39"/>
        <v>0</v>
      </c>
      <c r="P111" s="505">
        <f t="shared" si="40"/>
        <v>0</v>
      </c>
    </row>
    <row r="112" spans="1:16" ht="12.5">
      <c r="B112" s="145" t="str">
        <f t="shared" si="17"/>
        <v/>
      </c>
      <c r="C112" s="496">
        <f>IF(D94="","-",+C111+1)</f>
        <v>2030</v>
      </c>
      <c r="D112" s="350">
        <f>IF(F111+SUM(E$100:E111)=D$93,F111,D$93-SUM(E$100:E111))</f>
        <v>5798506.68686869</v>
      </c>
      <c r="E112" s="510">
        <f t="shared" si="34"/>
        <v>270747.39393939392</v>
      </c>
      <c r="F112" s="511">
        <f t="shared" si="35"/>
        <v>5527759.2929292964</v>
      </c>
      <c r="G112" s="511">
        <f t="shared" si="36"/>
        <v>5663132.9898989927</v>
      </c>
      <c r="H112" s="628">
        <f t="shared" si="18"/>
        <v>882418.00449320138</v>
      </c>
      <c r="I112" s="629">
        <f t="shared" si="37"/>
        <v>882418.00449320138</v>
      </c>
      <c r="J112" s="505">
        <f t="shared" si="19"/>
        <v>0</v>
      </c>
      <c r="K112" s="505"/>
      <c r="L112" s="513"/>
      <c r="M112" s="505">
        <f t="shared" si="38"/>
        <v>0</v>
      </c>
      <c r="N112" s="513"/>
      <c r="O112" s="505">
        <f t="shared" si="39"/>
        <v>0</v>
      </c>
      <c r="P112" s="505">
        <f t="shared" si="40"/>
        <v>0</v>
      </c>
    </row>
    <row r="113" spans="2:16" ht="12.5">
      <c r="B113" s="145" t="str">
        <f t="shared" si="17"/>
        <v/>
      </c>
      <c r="C113" s="496">
        <f>IF(D94="","-",+C112+1)</f>
        <v>2031</v>
      </c>
      <c r="D113" s="350">
        <f>IF(F112+SUM(E$100:E112)=D$93,F112,D$93-SUM(E$100:E112))</f>
        <v>5527759.2929292964</v>
      </c>
      <c r="E113" s="510">
        <f t="shared" si="34"/>
        <v>270747.39393939392</v>
      </c>
      <c r="F113" s="511">
        <f t="shared" si="35"/>
        <v>5257011.8989899028</v>
      </c>
      <c r="G113" s="511">
        <f t="shared" si="36"/>
        <v>5392385.5959596001</v>
      </c>
      <c r="H113" s="628">
        <f t="shared" si="18"/>
        <v>853174.78805238206</v>
      </c>
      <c r="I113" s="629">
        <f t="shared" si="37"/>
        <v>853174.78805238206</v>
      </c>
      <c r="J113" s="505">
        <f t="shared" si="19"/>
        <v>0</v>
      </c>
      <c r="K113" s="505"/>
      <c r="L113" s="513"/>
      <c r="M113" s="505">
        <f t="shared" si="38"/>
        <v>0</v>
      </c>
      <c r="N113" s="513"/>
      <c r="O113" s="505">
        <f t="shared" si="39"/>
        <v>0</v>
      </c>
      <c r="P113" s="505">
        <f t="shared" si="40"/>
        <v>0</v>
      </c>
    </row>
    <row r="114" spans="2:16" ht="12.5">
      <c r="B114" s="145" t="str">
        <f t="shared" si="17"/>
        <v/>
      </c>
      <c r="C114" s="496">
        <f>IF(D94="","-",+C113+1)</f>
        <v>2032</v>
      </c>
      <c r="D114" s="350">
        <f>IF(F113+SUM(E$100:E113)=D$93,F113,D$93-SUM(E$100:E113))</f>
        <v>5257011.8989899028</v>
      </c>
      <c r="E114" s="510">
        <f t="shared" si="34"/>
        <v>270747.39393939392</v>
      </c>
      <c r="F114" s="511">
        <f t="shared" si="35"/>
        <v>4986264.5050505092</v>
      </c>
      <c r="G114" s="511">
        <f t="shared" si="36"/>
        <v>5121638.2020202056</v>
      </c>
      <c r="H114" s="628">
        <f t="shared" si="18"/>
        <v>823931.57161156251</v>
      </c>
      <c r="I114" s="629">
        <f t="shared" si="37"/>
        <v>823931.57161156251</v>
      </c>
      <c r="J114" s="505">
        <f t="shared" si="19"/>
        <v>0</v>
      </c>
      <c r="K114" s="505"/>
      <c r="L114" s="513"/>
      <c r="M114" s="505">
        <f t="shared" si="38"/>
        <v>0</v>
      </c>
      <c r="N114" s="513"/>
      <c r="O114" s="505">
        <f t="shared" si="39"/>
        <v>0</v>
      </c>
      <c r="P114" s="505">
        <f t="shared" si="40"/>
        <v>0</v>
      </c>
    </row>
    <row r="115" spans="2:16" ht="12.5">
      <c r="B115" s="145" t="str">
        <f t="shared" si="17"/>
        <v>IU</v>
      </c>
      <c r="C115" s="496">
        <f>IF(D94="","-",+C114+1)</f>
        <v>2033</v>
      </c>
      <c r="D115" s="350">
        <f>IF(F114+SUM(E$100:E114)=D$93,F114,D$93-SUM(E$100:E114))</f>
        <v>4986264.5050505046</v>
      </c>
      <c r="E115" s="510">
        <f t="shared" si="34"/>
        <v>270747.39393939392</v>
      </c>
      <c r="F115" s="511">
        <f t="shared" si="35"/>
        <v>4715517.111111111</v>
      </c>
      <c r="G115" s="511">
        <f t="shared" si="36"/>
        <v>4850890.8080808073</v>
      </c>
      <c r="H115" s="628">
        <f t="shared" si="18"/>
        <v>794688.35517074261</v>
      </c>
      <c r="I115" s="629">
        <f t="shared" si="37"/>
        <v>794688.35517074261</v>
      </c>
      <c r="J115" s="505">
        <f t="shared" si="19"/>
        <v>0</v>
      </c>
      <c r="K115" s="505"/>
      <c r="L115" s="513"/>
      <c r="M115" s="505">
        <f t="shared" si="38"/>
        <v>0</v>
      </c>
      <c r="N115" s="513"/>
      <c r="O115" s="505">
        <f t="shared" si="39"/>
        <v>0</v>
      </c>
      <c r="P115" s="505">
        <f t="shared" si="40"/>
        <v>0</v>
      </c>
    </row>
    <row r="116" spans="2:16" ht="12.5">
      <c r="B116" s="145" t="str">
        <f t="shared" si="17"/>
        <v/>
      </c>
      <c r="C116" s="496">
        <f>IF(D94="","-",+C115+1)</f>
        <v>2034</v>
      </c>
      <c r="D116" s="350">
        <f>IF(F115+SUM(E$100:E115)=D$93,F115,D$93-SUM(E$100:E115))</f>
        <v>4715517.111111111</v>
      </c>
      <c r="E116" s="510">
        <f t="shared" si="34"/>
        <v>270747.39393939392</v>
      </c>
      <c r="F116" s="511">
        <f t="shared" si="35"/>
        <v>4444769.7171717174</v>
      </c>
      <c r="G116" s="511">
        <f t="shared" si="36"/>
        <v>4580143.4141414147</v>
      </c>
      <c r="H116" s="628">
        <f t="shared" si="18"/>
        <v>765445.13872992317</v>
      </c>
      <c r="I116" s="629">
        <f t="shared" si="37"/>
        <v>765445.13872992317</v>
      </c>
      <c r="J116" s="505">
        <f t="shared" si="19"/>
        <v>0</v>
      </c>
      <c r="K116" s="505"/>
      <c r="L116" s="513"/>
      <c r="M116" s="505">
        <f t="shared" si="38"/>
        <v>0</v>
      </c>
      <c r="N116" s="513"/>
      <c r="O116" s="505">
        <f t="shared" si="39"/>
        <v>0</v>
      </c>
      <c r="P116" s="505">
        <f t="shared" si="40"/>
        <v>0</v>
      </c>
    </row>
    <row r="117" spans="2:16" ht="12.5">
      <c r="B117" s="145" t="str">
        <f t="shared" si="17"/>
        <v/>
      </c>
      <c r="C117" s="496">
        <f>IF(D94="","-",+C116+1)</f>
        <v>2035</v>
      </c>
      <c r="D117" s="350">
        <f>IF(F116+SUM(E$100:E116)=D$93,F116,D$93-SUM(E$100:E116))</f>
        <v>4444769.7171717174</v>
      </c>
      <c r="E117" s="510">
        <f t="shared" si="34"/>
        <v>270747.39393939392</v>
      </c>
      <c r="F117" s="511">
        <f t="shared" si="35"/>
        <v>4174022.3232323234</v>
      </c>
      <c r="G117" s="511">
        <f t="shared" si="36"/>
        <v>4309396.0202020202</v>
      </c>
      <c r="H117" s="628">
        <f t="shared" si="18"/>
        <v>736201.92228910374</v>
      </c>
      <c r="I117" s="629">
        <f t="shared" si="37"/>
        <v>736201.92228910374</v>
      </c>
      <c r="J117" s="505">
        <f t="shared" si="19"/>
        <v>0</v>
      </c>
      <c r="K117" s="505"/>
      <c r="L117" s="513"/>
      <c r="M117" s="505">
        <f t="shared" si="38"/>
        <v>0</v>
      </c>
      <c r="N117" s="513"/>
      <c r="O117" s="505">
        <f t="shared" si="39"/>
        <v>0</v>
      </c>
      <c r="P117" s="505">
        <f t="shared" si="40"/>
        <v>0</v>
      </c>
    </row>
    <row r="118" spans="2:16" ht="12.5">
      <c r="B118" s="145" t="str">
        <f t="shared" si="17"/>
        <v/>
      </c>
      <c r="C118" s="496">
        <f>IF(D94="","-",+C117+1)</f>
        <v>2036</v>
      </c>
      <c r="D118" s="350">
        <f>IF(F117+SUM(E$100:E117)=D$93,F117,D$93-SUM(E$100:E117))</f>
        <v>4174022.3232323234</v>
      </c>
      <c r="E118" s="510">
        <f t="shared" si="34"/>
        <v>270747.39393939392</v>
      </c>
      <c r="F118" s="511">
        <f t="shared" si="35"/>
        <v>3903274.9292929294</v>
      </c>
      <c r="G118" s="511">
        <f t="shared" si="36"/>
        <v>4038648.6262626266</v>
      </c>
      <c r="H118" s="628">
        <f t="shared" si="18"/>
        <v>706958.7058482843</v>
      </c>
      <c r="I118" s="629">
        <f t="shared" si="37"/>
        <v>706958.7058482843</v>
      </c>
      <c r="J118" s="505">
        <f t="shared" si="19"/>
        <v>0</v>
      </c>
      <c r="K118" s="505"/>
      <c r="L118" s="513"/>
      <c r="M118" s="505">
        <f t="shared" si="38"/>
        <v>0</v>
      </c>
      <c r="N118" s="513"/>
      <c r="O118" s="505">
        <f t="shared" si="39"/>
        <v>0</v>
      </c>
      <c r="P118" s="505">
        <f t="shared" si="40"/>
        <v>0</v>
      </c>
    </row>
    <row r="119" spans="2:16" ht="12.5">
      <c r="B119" s="145" t="str">
        <f t="shared" si="17"/>
        <v/>
      </c>
      <c r="C119" s="496">
        <f>IF(D94="","-",+C118+1)</f>
        <v>2037</v>
      </c>
      <c r="D119" s="350">
        <f>IF(F118+SUM(E$100:E118)=D$93,F118,D$93-SUM(E$100:E118))</f>
        <v>3903274.9292929294</v>
      </c>
      <c r="E119" s="510">
        <f t="shared" si="34"/>
        <v>270747.39393939392</v>
      </c>
      <c r="F119" s="511">
        <f t="shared" si="35"/>
        <v>3632527.5353535353</v>
      </c>
      <c r="G119" s="511">
        <f t="shared" si="36"/>
        <v>3767901.2323232321</v>
      </c>
      <c r="H119" s="628">
        <f t="shared" si="18"/>
        <v>677715.48940746475</v>
      </c>
      <c r="I119" s="629">
        <f t="shared" si="37"/>
        <v>677715.48940746475</v>
      </c>
      <c r="J119" s="505">
        <f t="shared" si="19"/>
        <v>0</v>
      </c>
      <c r="K119" s="505"/>
      <c r="L119" s="513"/>
      <c r="M119" s="505">
        <f t="shared" si="38"/>
        <v>0</v>
      </c>
      <c r="N119" s="513"/>
      <c r="O119" s="505">
        <f t="shared" si="39"/>
        <v>0</v>
      </c>
      <c r="P119" s="505">
        <f t="shared" si="40"/>
        <v>0</v>
      </c>
    </row>
    <row r="120" spans="2:16" ht="12.5">
      <c r="B120" s="145" t="str">
        <f t="shared" si="17"/>
        <v/>
      </c>
      <c r="C120" s="496">
        <f>IF(D94="","-",+C119+1)</f>
        <v>2038</v>
      </c>
      <c r="D120" s="350">
        <f>IF(F119+SUM(E$100:E119)=D$93,F119,D$93-SUM(E$100:E119))</f>
        <v>3632527.5353535353</v>
      </c>
      <c r="E120" s="510">
        <f t="shared" si="34"/>
        <v>270747.39393939392</v>
      </c>
      <c r="F120" s="511">
        <f t="shared" si="35"/>
        <v>3361780.1414141413</v>
      </c>
      <c r="G120" s="511">
        <f t="shared" si="36"/>
        <v>3497153.8383838385</v>
      </c>
      <c r="H120" s="628">
        <f t="shared" si="18"/>
        <v>648472.27296664543</v>
      </c>
      <c r="I120" s="629">
        <f t="shared" si="37"/>
        <v>648472.27296664543</v>
      </c>
      <c r="J120" s="505">
        <f t="shared" si="19"/>
        <v>0</v>
      </c>
      <c r="K120" s="505"/>
      <c r="L120" s="513"/>
      <c r="M120" s="505">
        <f t="shared" si="38"/>
        <v>0</v>
      </c>
      <c r="N120" s="513"/>
      <c r="O120" s="505">
        <f t="shared" si="39"/>
        <v>0</v>
      </c>
      <c r="P120" s="505">
        <f t="shared" si="40"/>
        <v>0</v>
      </c>
    </row>
    <row r="121" spans="2:16" ht="12.5">
      <c r="B121" s="145" t="str">
        <f t="shared" si="17"/>
        <v/>
      </c>
      <c r="C121" s="496">
        <f>IF(D94="","-",+C120+1)</f>
        <v>2039</v>
      </c>
      <c r="D121" s="350">
        <f>IF(F120+SUM(E$100:E120)=D$93,F120,D$93-SUM(E$100:E120))</f>
        <v>3361780.1414141413</v>
      </c>
      <c r="E121" s="510">
        <f t="shared" si="34"/>
        <v>270747.39393939392</v>
      </c>
      <c r="F121" s="511">
        <f t="shared" si="35"/>
        <v>3091032.7474747472</v>
      </c>
      <c r="G121" s="511">
        <f t="shared" si="36"/>
        <v>3226406.444444444</v>
      </c>
      <c r="H121" s="628">
        <f t="shared" si="18"/>
        <v>619229.05652582576</v>
      </c>
      <c r="I121" s="629">
        <f t="shared" si="37"/>
        <v>619229.05652582576</v>
      </c>
      <c r="J121" s="505">
        <f t="shared" si="19"/>
        <v>0</v>
      </c>
      <c r="K121" s="505"/>
      <c r="L121" s="513"/>
      <c r="M121" s="505">
        <f t="shared" si="38"/>
        <v>0</v>
      </c>
      <c r="N121" s="513"/>
      <c r="O121" s="505">
        <f t="shared" si="39"/>
        <v>0</v>
      </c>
      <c r="P121" s="505">
        <f t="shared" si="40"/>
        <v>0</v>
      </c>
    </row>
    <row r="122" spans="2:16" ht="12.5">
      <c r="B122" s="145" t="str">
        <f t="shared" si="17"/>
        <v/>
      </c>
      <c r="C122" s="496">
        <f>IF(D94="","-",+C121+1)</f>
        <v>2040</v>
      </c>
      <c r="D122" s="350">
        <f>IF(F121+SUM(E$100:E121)=D$93,F121,D$93-SUM(E$100:E121))</f>
        <v>3091032.7474747472</v>
      </c>
      <c r="E122" s="510">
        <f t="shared" si="34"/>
        <v>270747.39393939392</v>
      </c>
      <c r="F122" s="511">
        <f t="shared" si="35"/>
        <v>2820285.3535353532</v>
      </c>
      <c r="G122" s="511">
        <f t="shared" si="36"/>
        <v>2955659.0505050505</v>
      </c>
      <c r="H122" s="628">
        <f t="shared" si="18"/>
        <v>589985.84008500632</v>
      </c>
      <c r="I122" s="629">
        <f t="shared" si="37"/>
        <v>589985.84008500632</v>
      </c>
      <c r="J122" s="505">
        <f t="shared" si="19"/>
        <v>0</v>
      </c>
      <c r="K122" s="505"/>
      <c r="L122" s="513"/>
      <c r="M122" s="505">
        <f t="shared" si="38"/>
        <v>0</v>
      </c>
      <c r="N122" s="513"/>
      <c r="O122" s="505">
        <f t="shared" si="39"/>
        <v>0</v>
      </c>
      <c r="P122" s="505">
        <f t="shared" si="40"/>
        <v>0</v>
      </c>
    </row>
    <row r="123" spans="2:16" ht="12.5">
      <c r="B123" s="145" t="str">
        <f t="shared" si="17"/>
        <v/>
      </c>
      <c r="C123" s="496">
        <f>IF(D94="","-",+C122+1)</f>
        <v>2041</v>
      </c>
      <c r="D123" s="350">
        <f>IF(F122+SUM(E$100:E122)=D$93,F122,D$93-SUM(E$100:E122))</f>
        <v>2820285.3535353532</v>
      </c>
      <c r="E123" s="510">
        <f t="shared" si="34"/>
        <v>270747.39393939392</v>
      </c>
      <c r="F123" s="511">
        <f t="shared" si="35"/>
        <v>2549537.9595959592</v>
      </c>
      <c r="G123" s="511">
        <f t="shared" si="36"/>
        <v>2684911.656565656</v>
      </c>
      <c r="H123" s="628">
        <f t="shared" si="18"/>
        <v>560742.62364418688</v>
      </c>
      <c r="I123" s="629">
        <f t="shared" si="37"/>
        <v>560742.62364418688</v>
      </c>
      <c r="J123" s="505">
        <f t="shared" si="19"/>
        <v>0</v>
      </c>
      <c r="K123" s="505"/>
      <c r="L123" s="513"/>
      <c r="M123" s="505">
        <f t="shared" si="38"/>
        <v>0</v>
      </c>
      <c r="N123" s="513"/>
      <c r="O123" s="505">
        <f t="shared" si="39"/>
        <v>0</v>
      </c>
      <c r="P123" s="505">
        <f t="shared" si="40"/>
        <v>0</v>
      </c>
    </row>
    <row r="124" spans="2:16" ht="12.5">
      <c r="B124" s="145" t="str">
        <f t="shared" si="17"/>
        <v/>
      </c>
      <c r="C124" s="496">
        <f>IF(D94="","-",+C123+1)</f>
        <v>2042</v>
      </c>
      <c r="D124" s="350">
        <f>IF(F123+SUM(E$100:E123)=D$93,F123,D$93-SUM(E$100:E123))</f>
        <v>2549537.9595959592</v>
      </c>
      <c r="E124" s="510">
        <f t="shared" si="34"/>
        <v>270747.39393939392</v>
      </c>
      <c r="F124" s="511">
        <f t="shared" si="35"/>
        <v>2278790.5656565651</v>
      </c>
      <c r="G124" s="511">
        <f t="shared" si="36"/>
        <v>2414164.2626262624</v>
      </c>
      <c r="H124" s="628">
        <f t="shared" si="18"/>
        <v>531499.40720336745</v>
      </c>
      <c r="I124" s="629">
        <f t="shared" si="37"/>
        <v>531499.40720336745</v>
      </c>
      <c r="J124" s="505">
        <f t="shared" si="19"/>
        <v>0</v>
      </c>
      <c r="K124" s="505"/>
      <c r="L124" s="513"/>
      <c r="M124" s="505">
        <f t="shared" si="38"/>
        <v>0</v>
      </c>
      <c r="N124" s="513"/>
      <c r="O124" s="505">
        <f t="shared" si="39"/>
        <v>0</v>
      </c>
      <c r="P124" s="505">
        <f t="shared" si="40"/>
        <v>0</v>
      </c>
    </row>
    <row r="125" spans="2:16" ht="12.5">
      <c r="B125" s="145" t="str">
        <f t="shared" si="17"/>
        <v/>
      </c>
      <c r="C125" s="496">
        <f>IF(D94="","-",+C124+1)</f>
        <v>2043</v>
      </c>
      <c r="D125" s="350">
        <f>IF(F124+SUM(E$100:E124)=D$93,F124,D$93-SUM(E$100:E124))</f>
        <v>2278790.5656565651</v>
      </c>
      <c r="E125" s="510">
        <f t="shared" si="34"/>
        <v>270747.39393939392</v>
      </c>
      <c r="F125" s="511">
        <f t="shared" si="35"/>
        <v>2008043.1717171711</v>
      </c>
      <c r="G125" s="511">
        <f t="shared" si="36"/>
        <v>2143416.8686868679</v>
      </c>
      <c r="H125" s="628">
        <f t="shared" si="18"/>
        <v>502256.19076254789</v>
      </c>
      <c r="I125" s="629">
        <f t="shared" si="37"/>
        <v>502256.19076254789</v>
      </c>
      <c r="J125" s="505">
        <f t="shared" si="19"/>
        <v>0</v>
      </c>
      <c r="K125" s="505"/>
      <c r="L125" s="513"/>
      <c r="M125" s="505">
        <f t="shared" si="38"/>
        <v>0</v>
      </c>
      <c r="N125" s="513"/>
      <c r="O125" s="505">
        <f t="shared" si="39"/>
        <v>0</v>
      </c>
      <c r="P125" s="505">
        <f t="shared" si="40"/>
        <v>0</v>
      </c>
    </row>
    <row r="126" spans="2:16" ht="12.5">
      <c r="B126" s="145" t="str">
        <f t="shared" si="17"/>
        <v/>
      </c>
      <c r="C126" s="496">
        <f>IF(D94="","-",+C125+1)</f>
        <v>2044</v>
      </c>
      <c r="D126" s="350">
        <f>IF(F125+SUM(E$100:E125)=D$93,F125,D$93-SUM(E$100:E125))</f>
        <v>2008043.1717171711</v>
      </c>
      <c r="E126" s="510">
        <f t="shared" si="34"/>
        <v>270747.39393939392</v>
      </c>
      <c r="F126" s="511">
        <f t="shared" si="35"/>
        <v>1737295.7777777771</v>
      </c>
      <c r="G126" s="511">
        <f t="shared" si="36"/>
        <v>1872669.4747474741</v>
      </c>
      <c r="H126" s="628">
        <f t="shared" si="18"/>
        <v>473012.97432172846</v>
      </c>
      <c r="I126" s="629">
        <f t="shared" si="37"/>
        <v>473012.97432172846</v>
      </c>
      <c r="J126" s="505">
        <f t="shared" si="19"/>
        <v>0</v>
      </c>
      <c r="K126" s="505"/>
      <c r="L126" s="513"/>
      <c r="M126" s="505">
        <f t="shared" si="38"/>
        <v>0</v>
      </c>
      <c r="N126" s="513"/>
      <c r="O126" s="505">
        <f t="shared" si="39"/>
        <v>0</v>
      </c>
      <c r="P126" s="505">
        <f t="shared" si="40"/>
        <v>0</v>
      </c>
    </row>
    <row r="127" spans="2:16" ht="12.5">
      <c r="B127" s="145" t="str">
        <f t="shared" si="17"/>
        <v/>
      </c>
      <c r="C127" s="496">
        <f>IF(D94="","-",+C126+1)</f>
        <v>2045</v>
      </c>
      <c r="D127" s="350">
        <f>IF(F126+SUM(E$100:E126)=D$93,F126,D$93-SUM(E$100:E126))</f>
        <v>1737295.7777777771</v>
      </c>
      <c r="E127" s="510">
        <f t="shared" si="34"/>
        <v>270747.39393939392</v>
      </c>
      <c r="F127" s="511">
        <f t="shared" si="35"/>
        <v>1466548.383838383</v>
      </c>
      <c r="G127" s="511">
        <f t="shared" si="36"/>
        <v>1601922.08080808</v>
      </c>
      <c r="H127" s="628">
        <f t="shared" si="18"/>
        <v>443769.75788090902</v>
      </c>
      <c r="I127" s="629">
        <f t="shared" si="37"/>
        <v>443769.75788090902</v>
      </c>
      <c r="J127" s="505">
        <f t="shared" si="19"/>
        <v>0</v>
      </c>
      <c r="K127" s="505"/>
      <c r="L127" s="513"/>
      <c r="M127" s="505">
        <f t="shared" si="38"/>
        <v>0</v>
      </c>
      <c r="N127" s="513"/>
      <c r="O127" s="505">
        <f t="shared" si="39"/>
        <v>0</v>
      </c>
      <c r="P127" s="505">
        <f t="shared" si="40"/>
        <v>0</v>
      </c>
    </row>
    <row r="128" spans="2:16" ht="12.5">
      <c r="B128" s="145" t="str">
        <f t="shared" si="17"/>
        <v/>
      </c>
      <c r="C128" s="496">
        <f>IF(D94="","-",+C127+1)</f>
        <v>2046</v>
      </c>
      <c r="D128" s="350">
        <f>IF(F127+SUM(E$100:E127)=D$93,F127,D$93-SUM(E$100:E127))</f>
        <v>1466548.383838383</v>
      </c>
      <c r="E128" s="510">
        <f t="shared" si="34"/>
        <v>270747.39393939392</v>
      </c>
      <c r="F128" s="511">
        <f t="shared" si="35"/>
        <v>1195800.989898989</v>
      </c>
      <c r="G128" s="511">
        <f t="shared" si="36"/>
        <v>1331174.686868686</v>
      </c>
      <c r="H128" s="628">
        <f t="shared" si="18"/>
        <v>414526.54144008952</v>
      </c>
      <c r="I128" s="629">
        <f t="shared" si="37"/>
        <v>414526.54144008952</v>
      </c>
      <c r="J128" s="505">
        <f t="shared" si="19"/>
        <v>0</v>
      </c>
      <c r="K128" s="505"/>
      <c r="L128" s="513"/>
      <c r="M128" s="505">
        <f t="shared" si="38"/>
        <v>0</v>
      </c>
      <c r="N128" s="513"/>
      <c r="O128" s="505">
        <f t="shared" si="39"/>
        <v>0</v>
      </c>
      <c r="P128" s="505">
        <f t="shared" si="40"/>
        <v>0</v>
      </c>
    </row>
    <row r="129" spans="2:16" ht="12.5">
      <c r="B129" s="145" t="str">
        <f t="shared" si="17"/>
        <v/>
      </c>
      <c r="C129" s="496">
        <f>IF(D94="","-",+C128+1)</f>
        <v>2047</v>
      </c>
      <c r="D129" s="350">
        <f>IF(F128+SUM(E$100:E128)=D$93,F128,D$93-SUM(E$100:E128))</f>
        <v>1195800.989898989</v>
      </c>
      <c r="E129" s="510">
        <f t="shared" si="34"/>
        <v>270747.39393939392</v>
      </c>
      <c r="F129" s="511">
        <f t="shared" si="35"/>
        <v>925053.59595959506</v>
      </c>
      <c r="G129" s="511">
        <f t="shared" si="36"/>
        <v>1060427.292929292</v>
      </c>
      <c r="H129" s="628">
        <f t="shared" si="18"/>
        <v>385283.32499927003</v>
      </c>
      <c r="I129" s="629">
        <f t="shared" si="37"/>
        <v>385283.32499927003</v>
      </c>
      <c r="J129" s="505">
        <f t="shared" si="19"/>
        <v>0</v>
      </c>
      <c r="K129" s="505"/>
      <c r="L129" s="513"/>
      <c r="M129" s="505">
        <f t="shared" si="38"/>
        <v>0</v>
      </c>
      <c r="N129" s="513"/>
      <c r="O129" s="505">
        <f t="shared" si="39"/>
        <v>0</v>
      </c>
      <c r="P129" s="505">
        <f t="shared" si="40"/>
        <v>0</v>
      </c>
    </row>
    <row r="130" spans="2:16" ht="12.5">
      <c r="B130" s="145" t="str">
        <f t="shared" si="17"/>
        <v>IU</v>
      </c>
      <c r="C130" s="496">
        <f>IF(D94="","-",+C129+1)</f>
        <v>2048</v>
      </c>
      <c r="D130" s="350">
        <f>IF(F129+SUM(E$100:E129)=D$93,F129,D$93-SUM(E$100:E129))</f>
        <v>925053.59595960006</v>
      </c>
      <c r="E130" s="510">
        <f t="shared" si="34"/>
        <v>270747.39393939392</v>
      </c>
      <c r="F130" s="511">
        <f t="shared" si="35"/>
        <v>654306.20202020614</v>
      </c>
      <c r="G130" s="511">
        <f t="shared" si="36"/>
        <v>789679.89898990304</v>
      </c>
      <c r="H130" s="628">
        <f t="shared" si="18"/>
        <v>356040.10855845112</v>
      </c>
      <c r="I130" s="629">
        <f t="shared" si="37"/>
        <v>356040.10855845112</v>
      </c>
      <c r="J130" s="505">
        <f t="shared" si="19"/>
        <v>0</v>
      </c>
      <c r="K130" s="505"/>
      <c r="L130" s="513"/>
      <c r="M130" s="505">
        <f t="shared" si="38"/>
        <v>0</v>
      </c>
      <c r="N130" s="513"/>
      <c r="O130" s="505">
        <f t="shared" si="39"/>
        <v>0</v>
      </c>
      <c r="P130" s="505">
        <f t="shared" si="40"/>
        <v>0</v>
      </c>
    </row>
    <row r="131" spans="2:16" ht="12.5">
      <c r="B131" s="145" t="str">
        <f t="shared" si="17"/>
        <v/>
      </c>
      <c r="C131" s="496">
        <f>IF(D94="","-",+C130+1)</f>
        <v>2049</v>
      </c>
      <c r="D131" s="350">
        <f>IF(F130+SUM(E$100:E130)=D$93,F130,D$93-SUM(E$100:E130))</f>
        <v>654306.20202020614</v>
      </c>
      <c r="E131" s="510">
        <f t="shared" si="34"/>
        <v>270747.39393939392</v>
      </c>
      <c r="F131" s="511">
        <f t="shared" si="35"/>
        <v>383558.80808081222</v>
      </c>
      <c r="G131" s="511">
        <f t="shared" si="36"/>
        <v>518932.50505050918</v>
      </c>
      <c r="H131" s="628">
        <f t="shared" si="18"/>
        <v>326796.89211763168</v>
      </c>
      <c r="I131" s="629">
        <f t="shared" si="37"/>
        <v>326796.89211763168</v>
      </c>
      <c r="J131" s="505">
        <f t="shared" si="19"/>
        <v>0</v>
      </c>
      <c r="K131" s="505"/>
      <c r="L131" s="513"/>
      <c r="M131" s="505">
        <f t="shared" si="38"/>
        <v>0</v>
      </c>
      <c r="N131" s="513"/>
      <c r="O131" s="505">
        <f t="shared" si="39"/>
        <v>0</v>
      </c>
      <c r="P131" s="505">
        <f t="shared" si="40"/>
        <v>0</v>
      </c>
    </row>
    <row r="132" spans="2:16" ht="12.5">
      <c r="B132" s="145" t="str">
        <f t="shared" si="17"/>
        <v/>
      </c>
      <c r="C132" s="496">
        <f>IF(D94="","-",+C131+1)</f>
        <v>2050</v>
      </c>
      <c r="D132" s="350">
        <f>IF(F131+SUM(E$100:E131)=D$93,F131,D$93-SUM(E$100:E131))</f>
        <v>383558.80808081222</v>
      </c>
      <c r="E132" s="510">
        <f t="shared" si="34"/>
        <v>270747.39393939392</v>
      </c>
      <c r="F132" s="511">
        <f t="shared" si="35"/>
        <v>112811.4141414183</v>
      </c>
      <c r="G132" s="511">
        <f t="shared" si="36"/>
        <v>248185.11111111526</v>
      </c>
      <c r="H132" s="628">
        <f t="shared" si="18"/>
        <v>297553.67567681218</v>
      </c>
      <c r="I132" s="629">
        <f t="shared" si="37"/>
        <v>297553.67567681218</v>
      </c>
      <c r="J132" s="505">
        <f t="shared" ref="J132:J155" si="41">+I542-H542</f>
        <v>0</v>
      </c>
      <c r="K132" s="505"/>
      <c r="L132" s="513"/>
      <c r="M132" s="505">
        <f t="shared" ref="M132:M155" si="42">IF(L542&lt;&gt;0,+H542-L542,0)</f>
        <v>0</v>
      </c>
      <c r="N132" s="513"/>
      <c r="O132" s="505">
        <f t="shared" ref="O132:O155" si="43">IF(N542&lt;&gt;0,+I542-N542,0)</f>
        <v>0</v>
      </c>
      <c r="P132" s="505">
        <f t="shared" ref="P132:P155" si="44">+O542-M542</f>
        <v>0</v>
      </c>
    </row>
    <row r="133" spans="2:16" ht="12.5">
      <c r="B133" s="145" t="str">
        <f t="shared" si="17"/>
        <v/>
      </c>
      <c r="C133" s="496">
        <f>IF(D94="","-",+C132+1)</f>
        <v>2051</v>
      </c>
      <c r="D133" s="350">
        <f>IF(F132+SUM(E$100:E132)=D$93,F132,D$93-SUM(E$100:E132))</f>
        <v>112811.4141414183</v>
      </c>
      <c r="E133" s="510">
        <f t="shared" si="34"/>
        <v>112811.4141414183</v>
      </c>
      <c r="F133" s="511">
        <f t="shared" si="35"/>
        <v>0</v>
      </c>
      <c r="G133" s="511">
        <f t="shared" si="36"/>
        <v>56405.707070709148</v>
      </c>
      <c r="H133" s="628">
        <f t="shared" si="18"/>
        <v>118903.75089992257</v>
      </c>
      <c r="I133" s="629">
        <f t="shared" si="37"/>
        <v>118903.75089992257</v>
      </c>
      <c r="J133" s="505">
        <f t="shared" si="41"/>
        <v>0</v>
      </c>
      <c r="K133" s="505"/>
      <c r="L133" s="513"/>
      <c r="M133" s="505">
        <f t="shared" si="42"/>
        <v>0</v>
      </c>
      <c r="N133" s="513"/>
      <c r="O133" s="505">
        <f t="shared" si="43"/>
        <v>0</v>
      </c>
      <c r="P133" s="505">
        <f t="shared" si="44"/>
        <v>0</v>
      </c>
    </row>
    <row r="134" spans="2:16" ht="12.5">
      <c r="B134" s="145" t="str">
        <f t="shared" si="17"/>
        <v/>
      </c>
      <c r="C134" s="496">
        <f>IF(D94="","-",+C133+1)</f>
        <v>2052</v>
      </c>
      <c r="D134" s="350">
        <f>IF(F133+SUM(E$100:E133)=D$93,F133,D$93-SUM(E$100:E133))</f>
        <v>0</v>
      </c>
      <c r="E134" s="510">
        <f t="shared" si="34"/>
        <v>0</v>
      </c>
      <c r="F134" s="511">
        <f t="shared" si="35"/>
        <v>0</v>
      </c>
      <c r="G134" s="511">
        <f t="shared" si="36"/>
        <v>0</v>
      </c>
      <c r="H134" s="628">
        <f t="shared" si="18"/>
        <v>0</v>
      </c>
      <c r="I134" s="629">
        <f t="shared" si="37"/>
        <v>0</v>
      </c>
      <c r="J134" s="505">
        <f t="shared" si="41"/>
        <v>0</v>
      </c>
      <c r="K134" s="505"/>
      <c r="L134" s="513"/>
      <c r="M134" s="505">
        <f t="shared" si="42"/>
        <v>0</v>
      </c>
      <c r="N134" s="513"/>
      <c r="O134" s="505">
        <f t="shared" si="43"/>
        <v>0</v>
      </c>
      <c r="P134" s="505">
        <f t="shared" si="44"/>
        <v>0</v>
      </c>
    </row>
    <row r="135" spans="2:16" ht="12.5">
      <c r="B135" s="145" t="str">
        <f t="shared" si="17"/>
        <v/>
      </c>
      <c r="C135" s="496">
        <f>IF(D94="","-",+C134+1)</f>
        <v>2053</v>
      </c>
      <c r="D135" s="350">
        <f>IF(F134+SUM(E$100:E134)=D$93,F134,D$93-SUM(E$100:E134))</f>
        <v>0</v>
      </c>
      <c r="E135" s="510">
        <f t="shared" si="34"/>
        <v>0</v>
      </c>
      <c r="F135" s="511">
        <f t="shared" si="35"/>
        <v>0</v>
      </c>
      <c r="G135" s="511">
        <f t="shared" si="36"/>
        <v>0</v>
      </c>
      <c r="H135" s="628">
        <f t="shared" si="18"/>
        <v>0</v>
      </c>
      <c r="I135" s="629">
        <f t="shared" si="37"/>
        <v>0</v>
      </c>
      <c r="J135" s="505">
        <f t="shared" si="41"/>
        <v>0</v>
      </c>
      <c r="K135" s="505"/>
      <c r="L135" s="513"/>
      <c r="M135" s="505">
        <f t="shared" si="42"/>
        <v>0</v>
      </c>
      <c r="N135" s="513"/>
      <c r="O135" s="505">
        <f t="shared" si="43"/>
        <v>0</v>
      </c>
      <c r="P135" s="505">
        <f t="shared" si="44"/>
        <v>0</v>
      </c>
    </row>
    <row r="136" spans="2:16" ht="12.5">
      <c r="B136" s="145" t="str">
        <f t="shared" si="17"/>
        <v/>
      </c>
      <c r="C136" s="496">
        <f>IF(D94="","-",+C135+1)</f>
        <v>2054</v>
      </c>
      <c r="D136" s="350">
        <f>IF(F135+SUM(E$100:E135)=D$93,F135,D$93-SUM(E$100:E135))</f>
        <v>0</v>
      </c>
      <c r="E136" s="510">
        <f t="shared" si="34"/>
        <v>0</v>
      </c>
      <c r="F136" s="511">
        <f t="shared" si="35"/>
        <v>0</v>
      </c>
      <c r="G136" s="511">
        <f t="shared" si="36"/>
        <v>0</v>
      </c>
      <c r="H136" s="628">
        <f t="shared" si="18"/>
        <v>0</v>
      </c>
      <c r="I136" s="629">
        <f t="shared" si="37"/>
        <v>0</v>
      </c>
      <c r="J136" s="505">
        <f t="shared" si="41"/>
        <v>0</v>
      </c>
      <c r="K136" s="505"/>
      <c r="L136" s="513"/>
      <c r="M136" s="505">
        <f t="shared" si="42"/>
        <v>0</v>
      </c>
      <c r="N136" s="513"/>
      <c r="O136" s="505">
        <f t="shared" si="43"/>
        <v>0</v>
      </c>
      <c r="P136" s="505">
        <f t="shared" si="44"/>
        <v>0</v>
      </c>
    </row>
    <row r="137" spans="2:16" ht="12.5">
      <c r="B137" s="145" t="str">
        <f t="shared" si="17"/>
        <v/>
      </c>
      <c r="C137" s="496">
        <f>IF(D94="","-",+C136+1)</f>
        <v>2055</v>
      </c>
      <c r="D137" s="350">
        <f>IF(F136+SUM(E$100:E136)=D$93,F136,D$93-SUM(E$100:E136))</f>
        <v>0</v>
      </c>
      <c r="E137" s="510">
        <f t="shared" si="34"/>
        <v>0</v>
      </c>
      <c r="F137" s="511">
        <f t="shared" si="35"/>
        <v>0</v>
      </c>
      <c r="G137" s="511">
        <f t="shared" si="36"/>
        <v>0</v>
      </c>
      <c r="H137" s="628">
        <f t="shared" si="18"/>
        <v>0</v>
      </c>
      <c r="I137" s="629">
        <f t="shared" si="37"/>
        <v>0</v>
      </c>
      <c r="J137" s="505">
        <f t="shared" si="41"/>
        <v>0</v>
      </c>
      <c r="K137" s="505"/>
      <c r="L137" s="513"/>
      <c r="M137" s="505">
        <f t="shared" si="42"/>
        <v>0</v>
      </c>
      <c r="N137" s="513"/>
      <c r="O137" s="505">
        <f t="shared" si="43"/>
        <v>0</v>
      </c>
      <c r="P137" s="505">
        <f t="shared" si="44"/>
        <v>0</v>
      </c>
    </row>
    <row r="138" spans="2:16" ht="12.5">
      <c r="B138" s="145" t="str">
        <f t="shared" si="17"/>
        <v/>
      </c>
      <c r="C138" s="496">
        <f>IF(D94="","-",+C137+1)</f>
        <v>2056</v>
      </c>
      <c r="D138" s="350">
        <f>IF(F137+SUM(E$100:E137)=D$93,F137,D$93-SUM(E$100:E137))</f>
        <v>0</v>
      </c>
      <c r="E138" s="510">
        <f t="shared" si="34"/>
        <v>0</v>
      </c>
      <c r="F138" s="511">
        <f t="shared" si="35"/>
        <v>0</v>
      </c>
      <c r="G138" s="511">
        <f t="shared" si="36"/>
        <v>0</v>
      </c>
      <c r="H138" s="628">
        <f t="shared" si="18"/>
        <v>0</v>
      </c>
      <c r="I138" s="629">
        <f t="shared" si="37"/>
        <v>0</v>
      </c>
      <c r="J138" s="505">
        <f t="shared" si="41"/>
        <v>0</v>
      </c>
      <c r="K138" s="505"/>
      <c r="L138" s="513"/>
      <c r="M138" s="505">
        <f t="shared" si="42"/>
        <v>0</v>
      </c>
      <c r="N138" s="513"/>
      <c r="O138" s="505">
        <f t="shared" si="43"/>
        <v>0</v>
      </c>
      <c r="P138" s="505">
        <f t="shared" si="44"/>
        <v>0</v>
      </c>
    </row>
    <row r="139" spans="2:16" ht="12.5">
      <c r="B139" s="145" t="str">
        <f t="shared" si="17"/>
        <v/>
      </c>
      <c r="C139" s="496">
        <f>IF(D94="","-",+C138+1)</f>
        <v>2057</v>
      </c>
      <c r="D139" s="350">
        <f>IF(F138+SUM(E$100:E138)=D$93,F138,D$93-SUM(E$100:E138))</f>
        <v>0</v>
      </c>
      <c r="E139" s="510">
        <f t="shared" si="34"/>
        <v>0</v>
      </c>
      <c r="F139" s="511">
        <f t="shared" si="35"/>
        <v>0</v>
      </c>
      <c r="G139" s="511">
        <f t="shared" si="36"/>
        <v>0</v>
      </c>
      <c r="H139" s="628">
        <f t="shared" si="18"/>
        <v>0</v>
      </c>
      <c r="I139" s="629">
        <f t="shared" si="37"/>
        <v>0</v>
      </c>
      <c r="J139" s="505">
        <f t="shared" si="41"/>
        <v>0</v>
      </c>
      <c r="K139" s="505"/>
      <c r="L139" s="513"/>
      <c r="M139" s="505">
        <f t="shared" si="42"/>
        <v>0</v>
      </c>
      <c r="N139" s="513"/>
      <c r="O139" s="505">
        <f t="shared" si="43"/>
        <v>0</v>
      </c>
      <c r="P139" s="505">
        <f t="shared" si="44"/>
        <v>0</v>
      </c>
    </row>
    <row r="140" spans="2:16" ht="12.5">
      <c r="B140" s="145" t="str">
        <f t="shared" si="17"/>
        <v/>
      </c>
      <c r="C140" s="496">
        <f>IF(D94="","-",+C139+1)</f>
        <v>2058</v>
      </c>
      <c r="D140" s="350">
        <f>IF(F139+SUM(E$100:E139)=D$93,F139,D$93-SUM(E$100:E139))</f>
        <v>0</v>
      </c>
      <c r="E140" s="510">
        <f t="shared" si="34"/>
        <v>0</v>
      </c>
      <c r="F140" s="511">
        <f t="shared" si="35"/>
        <v>0</v>
      </c>
      <c r="G140" s="511">
        <f t="shared" si="36"/>
        <v>0</v>
      </c>
      <c r="H140" s="628">
        <f t="shared" si="18"/>
        <v>0</v>
      </c>
      <c r="I140" s="629">
        <f t="shared" si="37"/>
        <v>0</v>
      </c>
      <c r="J140" s="505">
        <f t="shared" si="41"/>
        <v>0</v>
      </c>
      <c r="K140" s="505"/>
      <c r="L140" s="513"/>
      <c r="M140" s="505">
        <f t="shared" si="42"/>
        <v>0</v>
      </c>
      <c r="N140" s="513"/>
      <c r="O140" s="505">
        <f t="shared" si="43"/>
        <v>0</v>
      </c>
      <c r="P140" s="505">
        <f t="shared" si="44"/>
        <v>0</v>
      </c>
    </row>
    <row r="141" spans="2:16" ht="12.5">
      <c r="B141" s="145" t="str">
        <f t="shared" si="17"/>
        <v/>
      </c>
      <c r="C141" s="496">
        <f>IF(D94="","-",+C140+1)</f>
        <v>2059</v>
      </c>
      <c r="D141" s="350">
        <f>IF(F140+SUM(E$100:E140)=D$93,F140,D$93-SUM(E$100:E140))</f>
        <v>0</v>
      </c>
      <c r="E141" s="510">
        <f t="shared" si="34"/>
        <v>0</v>
      </c>
      <c r="F141" s="511">
        <f t="shared" si="35"/>
        <v>0</v>
      </c>
      <c r="G141" s="511">
        <f t="shared" si="36"/>
        <v>0</v>
      </c>
      <c r="H141" s="628">
        <f t="shared" si="18"/>
        <v>0</v>
      </c>
      <c r="I141" s="629">
        <f t="shared" si="37"/>
        <v>0</v>
      </c>
      <c r="J141" s="505">
        <f t="shared" si="41"/>
        <v>0</v>
      </c>
      <c r="K141" s="505"/>
      <c r="L141" s="513"/>
      <c r="M141" s="505">
        <f t="shared" si="42"/>
        <v>0</v>
      </c>
      <c r="N141" s="513"/>
      <c r="O141" s="505">
        <f t="shared" si="43"/>
        <v>0</v>
      </c>
      <c r="P141" s="505">
        <f t="shared" si="44"/>
        <v>0</v>
      </c>
    </row>
    <row r="142" spans="2:16" ht="12.5">
      <c r="B142" s="145" t="str">
        <f t="shared" si="17"/>
        <v/>
      </c>
      <c r="C142" s="496">
        <f>IF(D94="","-",+C141+1)</f>
        <v>2060</v>
      </c>
      <c r="D142" s="350">
        <f>IF(F141+SUM(E$100:E141)=D$93,F141,D$93-SUM(E$100:E141))</f>
        <v>0</v>
      </c>
      <c r="E142" s="510">
        <f t="shared" si="34"/>
        <v>0</v>
      </c>
      <c r="F142" s="511">
        <f t="shared" si="35"/>
        <v>0</v>
      </c>
      <c r="G142" s="511">
        <f t="shared" si="36"/>
        <v>0</v>
      </c>
      <c r="H142" s="628">
        <f t="shared" si="18"/>
        <v>0</v>
      </c>
      <c r="I142" s="629">
        <f t="shared" si="37"/>
        <v>0</v>
      </c>
      <c r="J142" s="505">
        <f t="shared" si="41"/>
        <v>0</v>
      </c>
      <c r="K142" s="505"/>
      <c r="L142" s="513"/>
      <c r="M142" s="505">
        <f t="shared" si="42"/>
        <v>0</v>
      </c>
      <c r="N142" s="513"/>
      <c r="O142" s="505">
        <f t="shared" si="43"/>
        <v>0</v>
      </c>
      <c r="P142" s="505">
        <f t="shared" si="44"/>
        <v>0</v>
      </c>
    </row>
    <row r="143" spans="2:16" ht="12.5">
      <c r="B143" s="145" t="str">
        <f t="shared" si="17"/>
        <v/>
      </c>
      <c r="C143" s="496">
        <f>IF(D94="","-",+C142+1)</f>
        <v>2061</v>
      </c>
      <c r="D143" s="350">
        <f>IF(F142+SUM(E$100:E142)=D$93,F142,D$93-SUM(E$100:E142))</f>
        <v>0</v>
      </c>
      <c r="E143" s="510">
        <f t="shared" si="34"/>
        <v>0</v>
      </c>
      <c r="F143" s="511">
        <f t="shared" si="35"/>
        <v>0</v>
      </c>
      <c r="G143" s="511">
        <f t="shared" si="36"/>
        <v>0</v>
      </c>
      <c r="H143" s="628">
        <f t="shared" si="18"/>
        <v>0</v>
      </c>
      <c r="I143" s="629">
        <f t="shared" si="37"/>
        <v>0</v>
      </c>
      <c r="J143" s="505">
        <f t="shared" si="41"/>
        <v>0</v>
      </c>
      <c r="K143" s="505"/>
      <c r="L143" s="513"/>
      <c r="M143" s="505">
        <f t="shared" si="42"/>
        <v>0</v>
      </c>
      <c r="N143" s="513"/>
      <c r="O143" s="505">
        <f t="shared" si="43"/>
        <v>0</v>
      </c>
      <c r="P143" s="505">
        <f t="shared" si="44"/>
        <v>0</v>
      </c>
    </row>
    <row r="144" spans="2:16" ht="12.5">
      <c r="B144" s="145" t="str">
        <f t="shared" si="17"/>
        <v/>
      </c>
      <c r="C144" s="496">
        <f>IF(D94="","-",+C143+1)</f>
        <v>2062</v>
      </c>
      <c r="D144" s="350">
        <f>IF(F143+SUM(E$100:E143)=D$93,F143,D$93-SUM(E$100:E143))</f>
        <v>0</v>
      </c>
      <c r="E144" s="510">
        <f t="shared" si="34"/>
        <v>0</v>
      </c>
      <c r="F144" s="511">
        <f t="shared" si="35"/>
        <v>0</v>
      </c>
      <c r="G144" s="511">
        <f t="shared" si="36"/>
        <v>0</v>
      </c>
      <c r="H144" s="628">
        <f t="shared" si="18"/>
        <v>0</v>
      </c>
      <c r="I144" s="629">
        <f t="shared" si="37"/>
        <v>0</v>
      </c>
      <c r="J144" s="505">
        <f t="shared" si="41"/>
        <v>0</v>
      </c>
      <c r="K144" s="505"/>
      <c r="L144" s="513"/>
      <c r="M144" s="505">
        <f t="shared" si="42"/>
        <v>0</v>
      </c>
      <c r="N144" s="513"/>
      <c r="O144" s="505">
        <f t="shared" si="43"/>
        <v>0</v>
      </c>
      <c r="P144" s="505">
        <f t="shared" si="44"/>
        <v>0</v>
      </c>
    </row>
    <row r="145" spans="2:16" ht="12.5">
      <c r="B145" s="145" t="str">
        <f t="shared" si="17"/>
        <v/>
      </c>
      <c r="C145" s="496">
        <f>IF(D94="","-",+C144+1)</f>
        <v>2063</v>
      </c>
      <c r="D145" s="350">
        <f>IF(F144+SUM(E$100:E144)=D$93,F144,D$93-SUM(E$100:E144))</f>
        <v>0</v>
      </c>
      <c r="E145" s="510">
        <f t="shared" si="34"/>
        <v>0</v>
      </c>
      <c r="F145" s="511">
        <f t="shared" si="35"/>
        <v>0</v>
      </c>
      <c r="G145" s="511">
        <f t="shared" si="36"/>
        <v>0</v>
      </c>
      <c r="H145" s="628">
        <f t="shared" si="18"/>
        <v>0</v>
      </c>
      <c r="I145" s="629">
        <f t="shared" si="37"/>
        <v>0</v>
      </c>
      <c r="J145" s="505">
        <f t="shared" si="41"/>
        <v>0</v>
      </c>
      <c r="K145" s="505"/>
      <c r="L145" s="513"/>
      <c r="M145" s="505">
        <f t="shared" si="42"/>
        <v>0</v>
      </c>
      <c r="N145" s="513"/>
      <c r="O145" s="505">
        <f t="shared" si="43"/>
        <v>0</v>
      </c>
      <c r="P145" s="505">
        <f t="shared" si="44"/>
        <v>0</v>
      </c>
    </row>
    <row r="146" spans="2:16" ht="12.5">
      <c r="B146" s="145" t="str">
        <f t="shared" si="17"/>
        <v/>
      </c>
      <c r="C146" s="496">
        <f>IF(D94="","-",+C145+1)</f>
        <v>2064</v>
      </c>
      <c r="D146" s="350">
        <f>IF(F145+SUM(E$100:E145)=D$93,F145,D$93-SUM(E$100:E145))</f>
        <v>0</v>
      </c>
      <c r="E146" s="510">
        <f t="shared" si="34"/>
        <v>0</v>
      </c>
      <c r="F146" s="511">
        <f t="shared" si="35"/>
        <v>0</v>
      </c>
      <c r="G146" s="511">
        <f t="shared" si="36"/>
        <v>0</v>
      </c>
      <c r="H146" s="628">
        <f t="shared" si="18"/>
        <v>0</v>
      </c>
      <c r="I146" s="629">
        <f t="shared" si="37"/>
        <v>0</v>
      </c>
      <c r="J146" s="505">
        <f t="shared" si="41"/>
        <v>0</v>
      </c>
      <c r="K146" s="505"/>
      <c r="L146" s="513"/>
      <c r="M146" s="505">
        <f t="shared" si="42"/>
        <v>0</v>
      </c>
      <c r="N146" s="513"/>
      <c r="O146" s="505">
        <f t="shared" si="43"/>
        <v>0</v>
      </c>
      <c r="P146" s="505">
        <f t="shared" si="44"/>
        <v>0</v>
      </c>
    </row>
    <row r="147" spans="2:16" ht="12.5">
      <c r="B147" s="145" t="str">
        <f t="shared" si="17"/>
        <v/>
      </c>
      <c r="C147" s="496">
        <f>IF(D94="","-",+C146+1)</f>
        <v>2065</v>
      </c>
      <c r="D147" s="350">
        <f>IF(F146+SUM(E$100:E146)=D$93,F146,D$93-SUM(E$100:E146))</f>
        <v>0</v>
      </c>
      <c r="E147" s="510">
        <f t="shared" si="34"/>
        <v>0</v>
      </c>
      <c r="F147" s="511">
        <f t="shared" si="35"/>
        <v>0</v>
      </c>
      <c r="G147" s="511">
        <f t="shared" si="36"/>
        <v>0</v>
      </c>
      <c r="H147" s="628">
        <f t="shared" si="18"/>
        <v>0</v>
      </c>
      <c r="I147" s="629">
        <f t="shared" si="37"/>
        <v>0</v>
      </c>
      <c r="J147" s="505">
        <f t="shared" si="41"/>
        <v>0</v>
      </c>
      <c r="K147" s="505"/>
      <c r="L147" s="513"/>
      <c r="M147" s="505">
        <f t="shared" si="42"/>
        <v>0</v>
      </c>
      <c r="N147" s="513"/>
      <c r="O147" s="505">
        <f t="shared" si="43"/>
        <v>0</v>
      </c>
      <c r="P147" s="505">
        <f t="shared" si="44"/>
        <v>0</v>
      </c>
    </row>
    <row r="148" spans="2:16" ht="12.5">
      <c r="B148" s="145" t="str">
        <f t="shared" si="17"/>
        <v/>
      </c>
      <c r="C148" s="496">
        <f>IF(D94="","-",+C147+1)</f>
        <v>2066</v>
      </c>
      <c r="D148" s="350">
        <f>IF(F147+SUM(E$100:E147)=D$93,F147,D$93-SUM(E$100:E147))</f>
        <v>0</v>
      </c>
      <c r="E148" s="510">
        <f t="shared" si="34"/>
        <v>0</v>
      </c>
      <c r="F148" s="511">
        <f t="shared" si="35"/>
        <v>0</v>
      </c>
      <c r="G148" s="511">
        <f t="shared" si="36"/>
        <v>0</v>
      </c>
      <c r="H148" s="628">
        <f t="shared" si="18"/>
        <v>0</v>
      </c>
      <c r="I148" s="629">
        <f t="shared" si="37"/>
        <v>0</v>
      </c>
      <c r="J148" s="505">
        <f t="shared" si="41"/>
        <v>0</v>
      </c>
      <c r="K148" s="505"/>
      <c r="L148" s="513"/>
      <c r="M148" s="505">
        <f t="shared" si="42"/>
        <v>0</v>
      </c>
      <c r="N148" s="513"/>
      <c r="O148" s="505">
        <f t="shared" si="43"/>
        <v>0</v>
      </c>
      <c r="P148" s="505">
        <f t="shared" si="44"/>
        <v>0</v>
      </c>
    </row>
    <row r="149" spans="2:16" ht="12.5">
      <c r="B149" s="145" t="str">
        <f t="shared" si="17"/>
        <v/>
      </c>
      <c r="C149" s="496">
        <f>IF(D94="","-",+C148+1)</f>
        <v>2067</v>
      </c>
      <c r="D149" s="350">
        <f>IF(F148+SUM(E$100:E148)=D$93,F148,D$93-SUM(E$100:E148))</f>
        <v>0</v>
      </c>
      <c r="E149" s="510">
        <f t="shared" si="34"/>
        <v>0</v>
      </c>
      <c r="F149" s="511">
        <f t="shared" si="35"/>
        <v>0</v>
      </c>
      <c r="G149" s="511">
        <f t="shared" si="36"/>
        <v>0</v>
      </c>
      <c r="H149" s="628">
        <f t="shared" si="18"/>
        <v>0</v>
      </c>
      <c r="I149" s="629">
        <f t="shared" si="37"/>
        <v>0</v>
      </c>
      <c r="J149" s="505">
        <f t="shared" si="41"/>
        <v>0</v>
      </c>
      <c r="K149" s="505"/>
      <c r="L149" s="513"/>
      <c r="M149" s="505">
        <f t="shared" si="42"/>
        <v>0</v>
      </c>
      <c r="N149" s="513"/>
      <c r="O149" s="505">
        <f t="shared" si="43"/>
        <v>0</v>
      </c>
      <c r="P149" s="505">
        <f t="shared" si="44"/>
        <v>0</v>
      </c>
    </row>
    <row r="150" spans="2:16" ht="12.5">
      <c r="B150" s="145" t="str">
        <f t="shared" si="17"/>
        <v/>
      </c>
      <c r="C150" s="496">
        <f>IF(D94="","-",+C149+1)</f>
        <v>2068</v>
      </c>
      <c r="D150" s="350">
        <f>IF(F149+SUM(E$100:E149)=D$93,F149,D$93-SUM(E$100:E149))</f>
        <v>0</v>
      </c>
      <c r="E150" s="510">
        <f t="shared" si="34"/>
        <v>0</v>
      </c>
      <c r="F150" s="511">
        <f t="shared" si="35"/>
        <v>0</v>
      </c>
      <c r="G150" s="511">
        <f t="shared" si="36"/>
        <v>0</v>
      </c>
      <c r="H150" s="628">
        <f t="shared" si="18"/>
        <v>0</v>
      </c>
      <c r="I150" s="629">
        <f t="shared" si="37"/>
        <v>0</v>
      </c>
      <c r="J150" s="505">
        <f t="shared" si="41"/>
        <v>0</v>
      </c>
      <c r="K150" s="505"/>
      <c r="L150" s="513"/>
      <c r="M150" s="505">
        <f t="shared" si="42"/>
        <v>0</v>
      </c>
      <c r="N150" s="513"/>
      <c r="O150" s="505">
        <f t="shared" si="43"/>
        <v>0</v>
      </c>
      <c r="P150" s="505">
        <f t="shared" si="44"/>
        <v>0</v>
      </c>
    </row>
    <row r="151" spans="2:16" ht="12.5">
      <c r="B151" s="145" t="str">
        <f t="shared" si="17"/>
        <v/>
      </c>
      <c r="C151" s="496">
        <f>IF(D94="","-",+C150+1)</f>
        <v>2069</v>
      </c>
      <c r="D151" s="350">
        <f>IF(F150+SUM(E$100:E150)=D$93,F150,D$93-SUM(E$100:E150))</f>
        <v>0</v>
      </c>
      <c r="E151" s="510">
        <f t="shared" si="34"/>
        <v>0</v>
      </c>
      <c r="F151" s="511">
        <f t="shared" si="35"/>
        <v>0</v>
      </c>
      <c r="G151" s="511">
        <f t="shared" si="36"/>
        <v>0</v>
      </c>
      <c r="H151" s="628">
        <f t="shared" si="18"/>
        <v>0</v>
      </c>
      <c r="I151" s="629">
        <f t="shared" si="37"/>
        <v>0</v>
      </c>
      <c r="J151" s="505">
        <f t="shared" si="41"/>
        <v>0</v>
      </c>
      <c r="K151" s="505"/>
      <c r="L151" s="513"/>
      <c r="M151" s="505">
        <f t="shared" si="42"/>
        <v>0</v>
      </c>
      <c r="N151" s="513"/>
      <c r="O151" s="505">
        <f t="shared" si="43"/>
        <v>0</v>
      </c>
      <c r="P151" s="505">
        <f t="shared" si="44"/>
        <v>0</v>
      </c>
    </row>
    <row r="152" spans="2:16" ht="12.5">
      <c r="B152" s="145" t="str">
        <f t="shared" si="17"/>
        <v/>
      </c>
      <c r="C152" s="496">
        <f>IF(D94="","-",+C151+1)</f>
        <v>2070</v>
      </c>
      <c r="D152" s="350">
        <f>IF(F151+SUM(E$100:E151)=D$93,F151,D$93-SUM(E$100:E151))</f>
        <v>0</v>
      </c>
      <c r="E152" s="510">
        <f t="shared" si="34"/>
        <v>0</v>
      </c>
      <c r="F152" s="511">
        <f t="shared" si="35"/>
        <v>0</v>
      </c>
      <c r="G152" s="511">
        <f t="shared" si="36"/>
        <v>0</v>
      </c>
      <c r="H152" s="628">
        <f t="shared" si="18"/>
        <v>0</v>
      </c>
      <c r="I152" s="629">
        <f t="shared" si="37"/>
        <v>0</v>
      </c>
      <c r="J152" s="505">
        <f t="shared" si="41"/>
        <v>0</v>
      </c>
      <c r="K152" s="505"/>
      <c r="L152" s="513"/>
      <c r="M152" s="505">
        <f t="shared" si="42"/>
        <v>0</v>
      </c>
      <c r="N152" s="513"/>
      <c r="O152" s="505">
        <f t="shared" si="43"/>
        <v>0</v>
      </c>
      <c r="P152" s="505">
        <f t="shared" si="44"/>
        <v>0</v>
      </c>
    </row>
    <row r="153" spans="2:16" ht="12.5">
      <c r="B153" s="145" t="str">
        <f t="shared" si="17"/>
        <v/>
      </c>
      <c r="C153" s="496">
        <f>IF(D94="","-",+C152+1)</f>
        <v>2071</v>
      </c>
      <c r="D153" s="350">
        <f>IF(F152+SUM(E$100:E152)=D$93,F152,D$93-SUM(E$100:E152))</f>
        <v>0</v>
      </c>
      <c r="E153" s="510">
        <f t="shared" si="34"/>
        <v>0</v>
      </c>
      <c r="F153" s="511">
        <f t="shared" si="35"/>
        <v>0</v>
      </c>
      <c r="G153" s="511">
        <f t="shared" si="36"/>
        <v>0</v>
      </c>
      <c r="H153" s="628">
        <f t="shared" si="18"/>
        <v>0</v>
      </c>
      <c r="I153" s="629">
        <f t="shared" si="37"/>
        <v>0</v>
      </c>
      <c r="J153" s="505">
        <f t="shared" si="41"/>
        <v>0</v>
      </c>
      <c r="K153" s="505"/>
      <c r="L153" s="513"/>
      <c r="M153" s="505">
        <f t="shared" si="42"/>
        <v>0</v>
      </c>
      <c r="N153" s="513"/>
      <c r="O153" s="505">
        <f t="shared" si="43"/>
        <v>0</v>
      </c>
      <c r="P153" s="505">
        <f t="shared" si="44"/>
        <v>0</v>
      </c>
    </row>
    <row r="154" spans="2:16" ht="12.5">
      <c r="B154" s="145" t="str">
        <f t="shared" si="17"/>
        <v/>
      </c>
      <c r="C154" s="496">
        <f>IF(D94="","-",+C153+1)</f>
        <v>2072</v>
      </c>
      <c r="D154" s="350">
        <f>IF(F153+SUM(E$100:E153)=D$93,F153,D$93-SUM(E$100:E153))</f>
        <v>0</v>
      </c>
      <c r="E154" s="510">
        <f t="shared" si="34"/>
        <v>0</v>
      </c>
      <c r="F154" s="511">
        <f t="shared" si="35"/>
        <v>0</v>
      </c>
      <c r="G154" s="511">
        <f t="shared" si="36"/>
        <v>0</v>
      </c>
      <c r="H154" s="628">
        <f t="shared" si="18"/>
        <v>0</v>
      </c>
      <c r="I154" s="629">
        <f t="shared" si="37"/>
        <v>0</v>
      </c>
      <c r="J154" s="505">
        <f t="shared" si="41"/>
        <v>0</v>
      </c>
      <c r="K154" s="505"/>
      <c r="L154" s="513"/>
      <c r="M154" s="505">
        <f t="shared" si="42"/>
        <v>0</v>
      </c>
      <c r="N154" s="513"/>
      <c r="O154" s="505">
        <f t="shared" si="43"/>
        <v>0</v>
      </c>
      <c r="P154" s="505">
        <f t="shared" si="44"/>
        <v>0</v>
      </c>
    </row>
    <row r="155" spans="2:16" ht="13" thickBot="1">
      <c r="B155" s="145" t="str">
        <f t="shared" si="17"/>
        <v/>
      </c>
      <c r="C155" s="525">
        <f>IF(D94="","-",+C154+1)</f>
        <v>2073</v>
      </c>
      <c r="D155" s="639">
        <f>IF(F154+SUM(E$100:E154)=D$93,F154,D$93-SUM(E$100:E154))</f>
        <v>0</v>
      </c>
      <c r="E155" s="527">
        <f t="shared" si="34"/>
        <v>0</v>
      </c>
      <c r="F155" s="528">
        <f t="shared" si="35"/>
        <v>0</v>
      </c>
      <c r="G155" s="528">
        <f t="shared" si="36"/>
        <v>0</v>
      </c>
      <c r="H155" s="624">
        <f t="shared" si="18"/>
        <v>0</v>
      </c>
      <c r="I155" s="625">
        <f t="shared" si="37"/>
        <v>0</v>
      </c>
      <c r="J155" s="532">
        <f t="shared" si="41"/>
        <v>0</v>
      </c>
      <c r="K155" s="505"/>
      <c r="L155" s="531"/>
      <c r="M155" s="532">
        <f t="shared" si="42"/>
        <v>0</v>
      </c>
      <c r="N155" s="531"/>
      <c r="O155" s="532">
        <f t="shared" si="43"/>
        <v>0</v>
      </c>
      <c r="P155" s="532">
        <f t="shared" si="44"/>
        <v>0</v>
      </c>
    </row>
    <row r="156" spans="2:16" ht="12.5">
      <c r="C156" s="350" t="s">
        <v>75</v>
      </c>
      <c r="D156" s="295"/>
      <c r="E156" s="295">
        <f>SUM(E100:E155)</f>
        <v>8934664</v>
      </c>
      <c r="F156" s="295"/>
      <c r="G156" s="295"/>
      <c r="H156" s="295">
        <f>SUM(H100:H155)</f>
        <v>24777176.506813947</v>
      </c>
      <c r="I156" s="295">
        <f>SUM(I100:I155)</f>
        <v>24777176.506813947</v>
      </c>
      <c r="J156" s="295">
        <f>SUM(J100:J155)</f>
        <v>0</v>
      </c>
      <c r="K156" s="295"/>
      <c r="L156" s="295"/>
      <c r="M156" s="295"/>
      <c r="N156" s="295"/>
      <c r="O156" s="295"/>
      <c r="P156" s="244"/>
    </row>
    <row r="157" spans="2:16" ht="12.5">
      <c r="C157" s="145" t="s">
        <v>90</v>
      </c>
      <c r="D157" s="293"/>
      <c r="E157" s="244"/>
      <c r="F157" s="244"/>
      <c r="G157" s="244"/>
      <c r="H157" s="244"/>
      <c r="I157" s="326"/>
      <c r="J157" s="326"/>
      <c r="K157" s="295"/>
      <c r="L157" s="326"/>
      <c r="M157" s="326"/>
      <c r="N157" s="326"/>
      <c r="O157" s="326"/>
      <c r="P157" s="244"/>
    </row>
    <row r="158" spans="2:16" ht="12.5">
      <c r="C158" s="575"/>
      <c r="D158" s="293"/>
      <c r="E158" s="244"/>
      <c r="F158" s="244"/>
      <c r="G158" s="244"/>
      <c r="H158" s="244"/>
      <c r="I158" s="326"/>
      <c r="J158" s="326"/>
      <c r="K158" s="295"/>
      <c r="L158" s="326"/>
      <c r="M158" s="326"/>
      <c r="N158" s="326"/>
      <c r="O158" s="326"/>
      <c r="P158" s="244"/>
    </row>
    <row r="159" spans="2:16" ht="13">
      <c r="C159" s="620" t="s">
        <v>130</v>
      </c>
      <c r="D159" s="293"/>
      <c r="E159" s="244"/>
      <c r="F159" s="244"/>
      <c r="G159" s="244"/>
      <c r="H159" s="244"/>
      <c r="I159" s="326"/>
      <c r="J159" s="326"/>
      <c r="K159" s="295"/>
      <c r="L159" s="326"/>
      <c r="M159" s="326"/>
      <c r="N159" s="326"/>
      <c r="O159" s="326"/>
      <c r="P159" s="244"/>
    </row>
    <row r="160" spans="2:16" ht="13">
      <c r="C160" s="455" t="s">
        <v>76</v>
      </c>
      <c r="D160" s="350"/>
      <c r="E160" s="350"/>
      <c r="F160" s="350"/>
      <c r="G160" s="350"/>
      <c r="H160" s="295"/>
      <c r="I160" s="295"/>
      <c r="J160" s="351"/>
      <c r="K160" s="351"/>
      <c r="L160" s="351"/>
      <c r="M160" s="351"/>
      <c r="N160" s="351"/>
      <c r="O160" s="351"/>
      <c r="P160" s="244"/>
    </row>
    <row r="161" spans="3:16" ht="13">
      <c r="C161" s="576" t="s">
        <v>77</v>
      </c>
      <c r="D161" s="350"/>
      <c r="E161" s="350"/>
      <c r="F161" s="350"/>
      <c r="G161" s="350"/>
      <c r="H161" s="295"/>
      <c r="I161" s="295"/>
      <c r="J161" s="351"/>
      <c r="K161" s="351"/>
      <c r="L161" s="351"/>
      <c r="M161" s="351"/>
      <c r="N161" s="351"/>
      <c r="O161" s="351"/>
      <c r="P161" s="244"/>
    </row>
    <row r="162" spans="3:16" ht="13">
      <c r="C162" s="576"/>
      <c r="D162" s="350"/>
      <c r="E162" s="350"/>
      <c r="F162" s="350"/>
      <c r="G162" s="350"/>
      <c r="H162" s="295"/>
      <c r="I162" s="295"/>
      <c r="J162" s="351"/>
      <c r="K162" s="351"/>
      <c r="L162" s="351"/>
      <c r="M162" s="351"/>
      <c r="N162" s="351"/>
      <c r="O162" s="351"/>
      <c r="P162" s="244"/>
    </row>
    <row r="163" spans="3:16" ht="17.5">
      <c r="C163" s="576"/>
      <c r="D163" s="350"/>
      <c r="E163" s="350"/>
      <c r="F163" s="350"/>
      <c r="G163" s="350"/>
      <c r="H163" s="295"/>
      <c r="I163" s="295"/>
      <c r="J163" s="351"/>
      <c r="K163" s="351"/>
      <c r="L163" s="351"/>
      <c r="M163" s="351"/>
      <c r="N163" s="351"/>
      <c r="P163" s="584" t="s">
        <v>129</v>
      </c>
    </row>
  </sheetData>
  <conditionalFormatting sqref="C17:C71 C73">
    <cfRule type="cellIs" dxfId="8" priority="2" stopIfTrue="1" operator="equal">
      <formula>$I$10</formula>
    </cfRule>
  </conditionalFormatting>
  <conditionalFormatting sqref="C100:C155">
    <cfRule type="cellIs" dxfId="7" priority="3" stopIfTrue="1" operator="equal">
      <formula>$J$93</formula>
    </cfRule>
  </conditionalFormatting>
  <conditionalFormatting sqref="C72">
    <cfRule type="cellIs" dxfId="6" priority="1" stopIfTrue="1" operator="equal">
      <formula>$I$10</formula>
    </cfRule>
  </conditionalFormatting>
  <pageMargins left="0.5" right="0.25" top="1" bottom="0.25" header="0.25" footer="0.5"/>
  <pageSetup scale="47" orientation="landscape" r:id="rId1"/>
  <headerFooter>
    <oddHeader xml:space="preserve">&amp;R&amp;16AEPTCo - SPP Formula Rate
&amp;A TCOS - Worksheets F and G
Section IV -- (BPU Project Tables)
Page: &amp;P of &amp;N&amp;10
</oddHeader>
    <oddFooter>&amp;L&amp;A</oddFooter>
  </headerFooter>
  <rowBreaks count="1" manualBreakCount="1">
    <brk id="81"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3"/>
  <sheetViews>
    <sheetView zoomScale="85" zoomScaleNormal="85" workbookViewId="0"/>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9.1796875" style="145" customWidth="1"/>
    <col min="18" max="22" width="8.7265625" style="145"/>
    <col min="23" max="23" width="9.1796875" style="145" customWidth="1"/>
    <col min="24" max="16384" width="8.7265625" style="145"/>
  </cols>
  <sheetData>
    <row r="1" spans="1:16" ht="20">
      <c r="A1" s="438" t="s">
        <v>189</v>
      </c>
      <c r="B1" s="244"/>
      <c r="C1" s="249"/>
      <c r="D1" s="293"/>
      <c r="E1" s="244"/>
      <c r="F1" s="340"/>
      <c r="G1" s="244"/>
      <c r="H1" s="326"/>
      <c r="J1" s="221"/>
      <c r="K1" s="439"/>
      <c r="L1" s="439"/>
      <c r="M1" s="439"/>
      <c r="P1" s="440" t="str">
        <f ca="1">"OKT Project "&amp;RIGHT(MID(CELL("filename",$A$1),FIND("]",CELL("filename",$A$1))+1,256),2)&amp;" of "&amp;COUNT('OKT.001:OKT.xyz - blank'!$P$3)-1</f>
        <v>OKT Project 19 of 19</v>
      </c>
    </row>
    <row r="2" spans="1:16" ht="17.5">
      <c r="B2" s="244"/>
      <c r="C2" s="244"/>
      <c r="D2" s="293"/>
      <c r="E2" s="244"/>
      <c r="F2" s="244"/>
      <c r="G2" s="244"/>
      <c r="H2" s="326"/>
      <c r="I2" s="244"/>
      <c r="J2" s="279"/>
      <c r="K2" s="244"/>
      <c r="L2" s="244"/>
      <c r="M2" s="244"/>
      <c r="N2" s="244"/>
      <c r="P2" s="442" t="s">
        <v>131</v>
      </c>
    </row>
    <row r="3" spans="1:16" ht="18">
      <c r="B3" s="234" t="s">
        <v>42</v>
      </c>
      <c r="C3" s="306" t="s">
        <v>43</v>
      </c>
      <c r="D3" s="293"/>
      <c r="E3" s="244"/>
      <c r="F3" s="244"/>
      <c r="G3" s="244"/>
      <c r="H3" s="326"/>
      <c r="I3" s="326"/>
      <c r="J3" s="295"/>
      <c r="K3" s="326"/>
      <c r="L3" s="326"/>
      <c r="M3" s="326"/>
      <c r="N3" s="326"/>
      <c r="O3" s="244"/>
      <c r="P3" s="578">
        <v>1</v>
      </c>
    </row>
    <row r="4" spans="1:16" ht="16" thickBot="1">
      <c r="C4" s="305"/>
      <c r="D4" s="293"/>
      <c r="E4" s="244"/>
      <c r="F4" s="244"/>
      <c r="G4" s="244"/>
      <c r="H4" s="326"/>
      <c r="I4" s="326"/>
      <c r="J4" s="295"/>
      <c r="K4" s="326"/>
      <c r="L4" s="326"/>
      <c r="M4" s="326"/>
      <c r="N4" s="326"/>
      <c r="O4" s="244"/>
      <c r="P4" s="244"/>
    </row>
    <row r="5" spans="1:16" ht="15.5">
      <c r="C5" s="444" t="s">
        <v>44</v>
      </c>
      <c r="D5" s="293"/>
      <c r="E5" s="244"/>
      <c r="F5" s="244"/>
      <c r="G5" s="445"/>
      <c r="H5" s="244" t="s">
        <v>45</v>
      </c>
      <c r="I5" s="244"/>
      <c r="J5" s="279"/>
      <c r="K5" s="446" t="s">
        <v>242</v>
      </c>
      <c r="L5" s="447"/>
      <c r="M5" s="448"/>
      <c r="N5" s="449">
        <f>VLOOKUP(I10,C17:I73,5)</f>
        <v>930333.23821495997</v>
      </c>
      <c r="P5" s="244"/>
    </row>
    <row r="6" spans="1:16" ht="15.5">
      <c r="C6" s="236"/>
      <c r="D6" s="293"/>
      <c r="E6" s="244"/>
      <c r="F6" s="244"/>
      <c r="G6" s="244"/>
      <c r="H6" s="450"/>
      <c r="I6" s="450"/>
      <c r="J6" s="451"/>
      <c r="K6" s="452" t="s">
        <v>243</v>
      </c>
      <c r="L6" s="453"/>
      <c r="M6" s="279"/>
      <c r="N6" s="454">
        <f>VLOOKUP(I10,C17:I73,6)</f>
        <v>930333.23821495997</v>
      </c>
      <c r="O6" s="244"/>
      <c r="P6" s="244"/>
    </row>
    <row r="7" spans="1:16" ht="13.5" thickBot="1">
      <c r="C7" s="455" t="s">
        <v>46</v>
      </c>
      <c r="D7" s="638" t="s">
        <v>270</v>
      </c>
      <c r="E7" s="244"/>
      <c r="F7" s="244"/>
      <c r="G7" s="244"/>
      <c r="H7" s="326"/>
      <c r="I7" s="326"/>
      <c r="J7" s="295"/>
      <c r="K7" s="457" t="s">
        <v>47</v>
      </c>
      <c r="L7" s="458"/>
      <c r="M7" s="458"/>
      <c r="N7" s="459">
        <f>+N6-N5</f>
        <v>0</v>
      </c>
      <c r="O7" s="244"/>
      <c r="P7" s="244"/>
    </row>
    <row r="8" spans="1:16" ht="13.5" thickBot="1">
      <c r="C8" s="460"/>
      <c r="D8" s="461"/>
      <c r="E8" s="462"/>
      <c r="F8" s="462"/>
      <c r="G8" s="462"/>
      <c r="H8" s="462"/>
      <c r="I8" s="462"/>
      <c r="J8" s="463"/>
      <c r="K8" s="462"/>
      <c r="L8" s="462"/>
      <c r="M8" s="462"/>
      <c r="N8" s="462"/>
      <c r="O8" s="463"/>
      <c r="P8" s="249"/>
    </row>
    <row r="9" spans="1:16" ht="13.5" thickBot="1">
      <c r="C9" s="464" t="s">
        <v>48</v>
      </c>
      <c r="D9" s="465" t="s">
        <v>269</v>
      </c>
      <c r="E9" s="466"/>
      <c r="F9" s="466"/>
      <c r="G9" s="466"/>
      <c r="H9" s="466"/>
      <c r="I9" s="467"/>
      <c r="J9" s="468"/>
      <c r="O9" s="469"/>
      <c r="P9" s="279"/>
    </row>
    <row r="10" spans="1:16" ht="13">
      <c r="C10" s="470" t="s">
        <v>49</v>
      </c>
      <c r="D10" s="471">
        <v>15833738</v>
      </c>
      <c r="E10" s="300" t="s">
        <v>50</v>
      </c>
      <c r="F10" s="469"/>
      <c r="G10" s="409"/>
      <c r="H10" s="409"/>
      <c r="I10" s="472">
        <f>+OKT.WS.F.BPU.ATRR.Projected!R100</f>
        <v>2019</v>
      </c>
      <c r="J10" s="468"/>
      <c r="K10" s="295" t="s">
        <v>51</v>
      </c>
      <c r="O10" s="279"/>
      <c r="P10" s="279"/>
    </row>
    <row r="11" spans="1:16" ht="12.5">
      <c r="C11" s="473" t="s">
        <v>52</v>
      </c>
      <c r="D11" s="474">
        <v>2019</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row>
    <row r="12" spans="1:16" ht="12.5">
      <c r="C12" s="473" t="s">
        <v>54</v>
      </c>
      <c r="D12" s="471">
        <v>6</v>
      </c>
      <c r="E12" s="473" t="s">
        <v>55</v>
      </c>
      <c r="F12" s="409"/>
      <c r="G12" s="221"/>
      <c r="H12" s="221"/>
      <c r="I12" s="477">
        <f>OKT.WS.F.BPU.ATRR.Projected!$F$78</f>
        <v>0.11749102697326873</v>
      </c>
      <c r="J12" s="414"/>
      <c r="K12" s="145" t="s">
        <v>56</v>
      </c>
      <c r="O12" s="279"/>
      <c r="P12" s="279"/>
    </row>
    <row r="13" spans="1:16" ht="12.5">
      <c r="C13" s="473" t="s">
        <v>57</v>
      </c>
      <c r="D13" s="475">
        <f>+OKT.WS.F.BPU.ATRR.Projected!F$89</f>
        <v>41</v>
      </c>
      <c r="E13" s="473" t="s">
        <v>58</v>
      </c>
      <c r="F13" s="409"/>
      <c r="G13" s="221"/>
      <c r="H13" s="221"/>
      <c r="I13" s="477">
        <f>IF(G5="",I12,OKT.WS.F.BPU.ATRR.Projected!$F$77)</f>
        <v>0.11749102697326873</v>
      </c>
      <c r="J13" s="414"/>
      <c r="K13" s="295" t="s">
        <v>59</v>
      </c>
      <c r="L13" s="292"/>
      <c r="M13" s="292"/>
      <c r="N13" s="292"/>
      <c r="O13" s="279"/>
      <c r="P13" s="279"/>
    </row>
    <row r="14" spans="1:16" ht="13" thickBot="1">
      <c r="C14" s="473" t="s">
        <v>60</v>
      </c>
      <c r="D14" s="474" t="s">
        <v>61</v>
      </c>
      <c r="E14" s="279" t="s">
        <v>62</v>
      </c>
      <c r="F14" s="409"/>
      <c r="G14" s="221"/>
      <c r="H14" s="221"/>
      <c r="I14" s="478">
        <f>IF(D10=0,0,D10/D13)</f>
        <v>386188.73170731706</v>
      </c>
      <c r="J14" s="295"/>
      <c r="K14" s="295"/>
      <c r="L14" s="295"/>
      <c r="M14" s="295"/>
      <c r="N14" s="295"/>
      <c r="O14" s="279"/>
      <c r="P14" s="279"/>
    </row>
    <row r="15" spans="1:16"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row>
    <row r="16" spans="1:16"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row>
    <row r="17" spans="2:16" ht="12.5">
      <c r="B17" s="145" t="str">
        <f t="shared" ref="B17:B71" si="0">IF(D17=F16,"","IU")</f>
        <v>IU</v>
      </c>
      <c r="C17" s="496">
        <f>IF(D11= "","-",D11)</f>
        <v>2019</v>
      </c>
      <c r="D17" s="642">
        <v>0</v>
      </c>
      <c r="E17" s="643">
        <v>182671.34855253328</v>
      </c>
      <c r="F17" s="644">
        <v>14714328.651447468</v>
      </c>
      <c r="G17" s="643">
        <v>930333.23821495997</v>
      </c>
      <c r="H17" s="645">
        <v>930333.23821495997</v>
      </c>
      <c r="I17" s="501">
        <f t="shared" ref="I17:I71" si="1">H17-G17</f>
        <v>0</v>
      </c>
      <c r="J17" s="501"/>
      <c r="K17" s="502">
        <f>+G17</f>
        <v>930333.23821495997</v>
      </c>
      <c r="L17" s="504">
        <f t="shared" ref="L17:L71" si="2">IF(K17&lt;&gt;0,+G17-K17,0)</f>
        <v>0</v>
      </c>
      <c r="M17" s="502">
        <f>+H17</f>
        <v>930333.23821495997</v>
      </c>
      <c r="N17" s="504">
        <f t="shared" ref="N17:N71" si="3">IF(M17&lt;&gt;0,+H17-M17,0)</f>
        <v>0</v>
      </c>
      <c r="O17" s="505">
        <f t="shared" ref="O17:O71" si="4">+N17-L17</f>
        <v>0</v>
      </c>
      <c r="P17" s="279"/>
    </row>
    <row r="18" spans="2:16" ht="12.5">
      <c r="B18" s="145" t="str">
        <f t="shared" si="0"/>
        <v>IU</v>
      </c>
      <c r="C18" s="496">
        <f>IF(D11="","-",+C17+1)</f>
        <v>2020</v>
      </c>
      <c r="D18" s="509">
        <f>IF(F17+SUM(E$17:E17)=D$10,F17,D$10-SUM(E$17:E17))</f>
        <v>15651066.651447468</v>
      </c>
      <c r="E18" s="510">
        <f t="shared" ref="E18:E71" si="5">IF(+I$14&lt;F17,I$14,D18)</f>
        <v>386188.73170731706</v>
      </c>
      <c r="F18" s="511">
        <f t="shared" ref="F18:F71" si="6">+D18-E18</f>
        <v>15264877.91974015</v>
      </c>
      <c r="G18" s="512">
        <f t="shared" ref="G18:G71" si="7">(D18+F18)/2*I$12+E18</f>
        <v>2202361.7704660594</v>
      </c>
      <c r="H18" s="478">
        <f t="shared" ref="H18:H71" si="8">+(D18+F18)/2*I$13+E18</f>
        <v>2202361.7704660594</v>
      </c>
      <c r="I18" s="501">
        <f t="shared" si="1"/>
        <v>0</v>
      </c>
      <c r="J18" s="501"/>
      <c r="K18" s="513"/>
      <c r="L18" s="505">
        <f t="shared" si="2"/>
        <v>0</v>
      </c>
      <c r="M18" s="513"/>
      <c r="N18" s="505">
        <f t="shared" si="3"/>
        <v>0</v>
      </c>
      <c r="O18" s="505">
        <f t="shared" si="4"/>
        <v>0</v>
      </c>
      <c r="P18" s="279"/>
    </row>
    <row r="19" spans="2:16" ht="12.5">
      <c r="B19" s="145" t="str">
        <f t="shared" si="0"/>
        <v/>
      </c>
      <c r="C19" s="496">
        <f>IF(D11="","-",+C18+1)</f>
        <v>2021</v>
      </c>
      <c r="D19" s="509">
        <f>IF(F18+SUM(E$17:E18)=D$10,F18,D$10-SUM(E$17:E18))</f>
        <v>15264877.91974015</v>
      </c>
      <c r="E19" s="510">
        <f t="shared" si="5"/>
        <v>386188.73170731706</v>
      </c>
      <c r="F19" s="511">
        <f t="shared" si="6"/>
        <v>14878689.188032832</v>
      </c>
      <c r="G19" s="512">
        <f t="shared" si="7"/>
        <v>2156988.0597722628</v>
      </c>
      <c r="H19" s="478">
        <f t="shared" si="8"/>
        <v>2156988.0597722628</v>
      </c>
      <c r="I19" s="501">
        <f t="shared" si="1"/>
        <v>0</v>
      </c>
      <c r="J19" s="501"/>
      <c r="K19" s="513"/>
      <c r="L19" s="505">
        <f t="shared" si="2"/>
        <v>0</v>
      </c>
      <c r="M19" s="513"/>
      <c r="N19" s="505">
        <f t="shared" si="3"/>
        <v>0</v>
      </c>
      <c r="O19" s="505">
        <f t="shared" si="4"/>
        <v>0</v>
      </c>
      <c r="P19" s="279"/>
    </row>
    <row r="20" spans="2:16" ht="12.5">
      <c r="B20" s="145" t="str">
        <f t="shared" si="0"/>
        <v/>
      </c>
      <c r="C20" s="496">
        <f>IF(D11="","-",+C19+1)</f>
        <v>2022</v>
      </c>
      <c r="D20" s="509">
        <f>IF(F19+SUM(E$17:E19)=D$10,F19,D$10-SUM(E$17:E19))</f>
        <v>14878689.188032832</v>
      </c>
      <c r="E20" s="510">
        <f t="shared" si="5"/>
        <v>386188.73170731706</v>
      </c>
      <c r="F20" s="511">
        <f t="shared" si="6"/>
        <v>14492500.456325514</v>
      </c>
      <c r="G20" s="512">
        <f t="shared" si="7"/>
        <v>2111614.3490784657</v>
      </c>
      <c r="H20" s="478">
        <f t="shared" si="8"/>
        <v>2111614.3490784657</v>
      </c>
      <c r="I20" s="501">
        <f t="shared" si="1"/>
        <v>0</v>
      </c>
      <c r="J20" s="501"/>
      <c r="K20" s="513"/>
      <c r="L20" s="505">
        <f t="shared" si="2"/>
        <v>0</v>
      </c>
      <c r="M20" s="513"/>
      <c r="N20" s="505">
        <f t="shared" si="3"/>
        <v>0</v>
      </c>
      <c r="O20" s="505">
        <f t="shared" si="4"/>
        <v>0</v>
      </c>
      <c r="P20" s="279"/>
    </row>
    <row r="21" spans="2:16" ht="12.5">
      <c r="B21" s="145" t="str">
        <f t="shared" si="0"/>
        <v/>
      </c>
      <c r="C21" s="496">
        <f>IF(D11="","-",+C20+1)</f>
        <v>2023</v>
      </c>
      <c r="D21" s="509">
        <f>IF(F20+SUM(E$17:E20)=D$10,F20,D$10-SUM(E$17:E20))</f>
        <v>14492500.456325514</v>
      </c>
      <c r="E21" s="510">
        <f t="shared" si="5"/>
        <v>386188.73170731706</v>
      </c>
      <c r="F21" s="511">
        <f t="shared" si="6"/>
        <v>14106311.724618196</v>
      </c>
      <c r="G21" s="512">
        <f t="shared" si="7"/>
        <v>2066240.6383846691</v>
      </c>
      <c r="H21" s="478">
        <f t="shared" si="8"/>
        <v>2066240.6383846691</v>
      </c>
      <c r="I21" s="501">
        <f t="shared" si="1"/>
        <v>0</v>
      </c>
      <c r="J21" s="501"/>
      <c r="K21" s="513"/>
      <c r="L21" s="505">
        <f t="shared" si="2"/>
        <v>0</v>
      </c>
      <c r="M21" s="513"/>
      <c r="N21" s="505">
        <f t="shared" si="3"/>
        <v>0</v>
      </c>
      <c r="O21" s="505">
        <f t="shared" si="4"/>
        <v>0</v>
      </c>
      <c r="P21" s="279"/>
    </row>
    <row r="22" spans="2:16" ht="12.5">
      <c r="B22" s="145" t="str">
        <f t="shared" si="0"/>
        <v/>
      </c>
      <c r="C22" s="496">
        <f>IF(D11="","-",+C21+1)</f>
        <v>2024</v>
      </c>
      <c r="D22" s="509">
        <f>IF(F21+SUM(E$17:E21)=D$10,F21,D$10-SUM(E$17:E21))</f>
        <v>14106311.724618196</v>
      </c>
      <c r="E22" s="510">
        <f t="shared" si="5"/>
        <v>386188.73170731706</v>
      </c>
      <c r="F22" s="511">
        <f t="shared" si="6"/>
        <v>13720122.992910879</v>
      </c>
      <c r="G22" s="512">
        <f t="shared" si="7"/>
        <v>2020866.927690872</v>
      </c>
      <c r="H22" s="478">
        <f t="shared" si="8"/>
        <v>2020866.927690872</v>
      </c>
      <c r="I22" s="501">
        <f t="shared" si="1"/>
        <v>0</v>
      </c>
      <c r="J22" s="501"/>
      <c r="K22" s="513"/>
      <c r="L22" s="505">
        <f t="shared" si="2"/>
        <v>0</v>
      </c>
      <c r="M22" s="513"/>
      <c r="N22" s="505">
        <f t="shared" si="3"/>
        <v>0</v>
      </c>
      <c r="O22" s="505">
        <f t="shared" si="4"/>
        <v>0</v>
      </c>
      <c r="P22" s="279"/>
    </row>
    <row r="23" spans="2:16" ht="12.5">
      <c r="B23" s="145" t="str">
        <f t="shared" si="0"/>
        <v/>
      </c>
      <c r="C23" s="496">
        <f>IF(D11="","-",+C22+1)</f>
        <v>2025</v>
      </c>
      <c r="D23" s="509">
        <f>IF(F22+SUM(E$17:E22)=D$10,F22,D$10-SUM(E$17:E22))</f>
        <v>13720122.992910879</v>
      </c>
      <c r="E23" s="510">
        <f t="shared" si="5"/>
        <v>386188.73170731706</v>
      </c>
      <c r="F23" s="511">
        <f t="shared" si="6"/>
        <v>13333934.261203561</v>
      </c>
      <c r="G23" s="512">
        <f t="shared" si="7"/>
        <v>1975493.2169970751</v>
      </c>
      <c r="H23" s="478">
        <f t="shared" si="8"/>
        <v>1975493.2169970751</v>
      </c>
      <c r="I23" s="501">
        <f t="shared" si="1"/>
        <v>0</v>
      </c>
      <c r="J23" s="501"/>
      <c r="K23" s="513"/>
      <c r="L23" s="505">
        <f t="shared" si="2"/>
        <v>0</v>
      </c>
      <c r="M23" s="513"/>
      <c r="N23" s="505">
        <f t="shared" si="3"/>
        <v>0</v>
      </c>
      <c r="O23" s="505">
        <f t="shared" si="4"/>
        <v>0</v>
      </c>
      <c r="P23" s="279"/>
    </row>
    <row r="24" spans="2:16" ht="12.5">
      <c r="B24" s="145" t="str">
        <f t="shared" si="0"/>
        <v/>
      </c>
      <c r="C24" s="496">
        <f>IF(D11="","-",+C23+1)</f>
        <v>2026</v>
      </c>
      <c r="D24" s="509">
        <f>IF(F23+SUM(E$17:E23)=D$10,F23,D$10-SUM(E$17:E23))</f>
        <v>13333934.261203561</v>
      </c>
      <c r="E24" s="510">
        <f t="shared" si="5"/>
        <v>386188.73170731706</v>
      </c>
      <c r="F24" s="511">
        <f t="shared" si="6"/>
        <v>12947745.529496243</v>
      </c>
      <c r="G24" s="512">
        <f t="shared" si="7"/>
        <v>1930119.506303278</v>
      </c>
      <c r="H24" s="478">
        <f t="shared" si="8"/>
        <v>1930119.506303278</v>
      </c>
      <c r="I24" s="501">
        <f t="shared" si="1"/>
        <v>0</v>
      </c>
      <c r="J24" s="501"/>
      <c r="K24" s="513"/>
      <c r="L24" s="505">
        <f t="shared" si="2"/>
        <v>0</v>
      </c>
      <c r="M24" s="513"/>
      <c r="N24" s="505">
        <f t="shared" si="3"/>
        <v>0</v>
      </c>
      <c r="O24" s="505">
        <f t="shared" si="4"/>
        <v>0</v>
      </c>
      <c r="P24" s="279"/>
    </row>
    <row r="25" spans="2:16" ht="12.5">
      <c r="B25" s="145" t="str">
        <f t="shared" si="0"/>
        <v/>
      </c>
      <c r="C25" s="496">
        <f>IF(D11="","-",+C24+1)</f>
        <v>2027</v>
      </c>
      <c r="D25" s="509">
        <f>IF(F24+SUM(E$17:E24)=D$10,F24,D$10-SUM(E$17:E24))</f>
        <v>12947745.529496243</v>
      </c>
      <c r="E25" s="510">
        <f t="shared" si="5"/>
        <v>386188.73170731706</v>
      </c>
      <c r="F25" s="511">
        <f t="shared" si="6"/>
        <v>12561556.797788925</v>
      </c>
      <c r="G25" s="512">
        <f t="shared" si="7"/>
        <v>1884745.7956094814</v>
      </c>
      <c r="H25" s="478">
        <f t="shared" si="8"/>
        <v>1884745.7956094814</v>
      </c>
      <c r="I25" s="501">
        <f t="shared" si="1"/>
        <v>0</v>
      </c>
      <c r="J25" s="501"/>
      <c r="K25" s="513"/>
      <c r="L25" s="505">
        <f t="shared" si="2"/>
        <v>0</v>
      </c>
      <c r="M25" s="513"/>
      <c r="N25" s="505">
        <f t="shared" si="3"/>
        <v>0</v>
      </c>
      <c r="O25" s="505">
        <f t="shared" si="4"/>
        <v>0</v>
      </c>
      <c r="P25" s="279"/>
    </row>
    <row r="26" spans="2:16" ht="12.5">
      <c r="B26" s="145" t="str">
        <f t="shared" si="0"/>
        <v/>
      </c>
      <c r="C26" s="496">
        <f>IF(D11="","-",+C25+1)</f>
        <v>2028</v>
      </c>
      <c r="D26" s="509">
        <f>IF(F25+SUM(E$17:E25)=D$10,F25,D$10-SUM(E$17:E25))</f>
        <v>12561556.797788925</v>
      </c>
      <c r="E26" s="510">
        <f t="shared" si="5"/>
        <v>386188.73170731706</v>
      </c>
      <c r="F26" s="511">
        <f t="shared" si="6"/>
        <v>12175368.066081608</v>
      </c>
      <c r="G26" s="512">
        <f t="shared" si="7"/>
        <v>1839372.0849156843</v>
      </c>
      <c r="H26" s="478">
        <f t="shared" si="8"/>
        <v>1839372.0849156843</v>
      </c>
      <c r="I26" s="501">
        <f t="shared" si="1"/>
        <v>0</v>
      </c>
      <c r="J26" s="501"/>
      <c r="K26" s="513"/>
      <c r="L26" s="505">
        <f t="shared" si="2"/>
        <v>0</v>
      </c>
      <c r="M26" s="513"/>
      <c r="N26" s="505">
        <f t="shared" si="3"/>
        <v>0</v>
      </c>
      <c r="O26" s="505">
        <f t="shared" si="4"/>
        <v>0</v>
      </c>
      <c r="P26" s="279"/>
    </row>
    <row r="27" spans="2:16" ht="12.5">
      <c r="B27" s="145" t="str">
        <f t="shared" si="0"/>
        <v/>
      </c>
      <c r="C27" s="496">
        <f>IF(D11="","-",+C26+1)</f>
        <v>2029</v>
      </c>
      <c r="D27" s="509">
        <f>IF(F26+SUM(E$17:E26)=D$10,F26,D$10-SUM(E$17:E26))</f>
        <v>12175368.066081608</v>
      </c>
      <c r="E27" s="510">
        <f t="shared" si="5"/>
        <v>386188.73170731706</v>
      </c>
      <c r="F27" s="511">
        <f t="shared" si="6"/>
        <v>11789179.33437429</v>
      </c>
      <c r="G27" s="512">
        <f t="shared" si="7"/>
        <v>1793998.3742218877</v>
      </c>
      <c r="H27" s="478">
        <f t="shared" si="8"/>
        <v>1793998.3742218877</v>
      </c>
      <c r="I27" s="501">
        <f t="shared" si="1"/>
        <v>0</v>
      </c>
      <c r="J27" s="501"/>
      <c r="K27" s="513"/>
      <c r="L27" s="505">
        <f t="shared" si="2"/>
        <v>0</v>
      </c>
      <c r="M27" s="513"/>
      <c r="N27" s="505">
        <f t="shared" si="3"/>
        <v>0</v>
      </c>
      <c r="O27" s="505">
        <f t="shared" si="4"/>
        <v>0</v>
      </c>
      <c r="P27" s="279"/>
    </row>
    <row r="28" spans="2:16" ht="12.5">
      <c r="B28" s="145" t="str">
        <f t="shared" si="0"/>
        <v/>
      </c>
      <c r="C28" s="496">
        <f>IF(D11="","-",+C27+1)</f>
        <v>2030</v>
      </c>
      <c r="D28" s="509">
        <f>IF(F27+SUM(E$17:E27)=D$10,F27,D$10-SUM(E$17:E27))</f>
        <v>11789179.33437429</v>
      </c>
      <c r="E28" s="510">
        <f t="shared" si="5"/>
        <v>386188.73170731706</v>
      </c>
      <c r="F28" s="511">
        <f t="shared" si="6"/>
        <v>11402990.602666972</v>
      </c>
      <c r="G28" s="512">
        <f t="shared" si="7"/>
        <v>1748624.6635280906</v>
      </c>
      <c r="H28" s="478">
        <f t="shared" si="8"/>
        <v>1748624.6635280906</v>
      </c>
      <c r="I28" s="501">
        <f t="shared" si="1"/>
        <v>0</v>
      </c>
      <c r="J28" s="501"/>
      <c r="K28" s="513"/>
      <c r="L28" s="505">
        <f t="shared" si="2"/>
        <v>0</v>
      </c>
      <c r="M28" s="513"/>
      <c r="N28" s="505">
        <f t="shared" si="3"/>
        <v>0</v>
      </c>
      <c r="O28" s="505">
        <f t="shared" si="4"/>
        <v>0</v>
      </c>
      <c r="P28" s="279"/>
    </row>
    <row r="29" spans="2:16" ht="12.5">
      <c r="B29" s="145" t="str">
        <f t="shared" si="0"/>
        <v/>
      </c>
      <c r="C29" s="496">
        <f>IF(D11="","-",+C28+1)</f>
        <v>2031</v>
      </c>
      <c r="D29" s="509">
        <f>IF(F28+SUM(E$17:E28)=D$10,F28,D$10-SUM(E$17:E28))</f>
        <v>11402990.602666972</v>
      </c>
      <c r="E29" s="510">
        <f t="shared" si="5"/>
        <v>386188.73170731706</v>
      </c>
      <c r="F29" s="511">
        <f t="shared" si="6"/>
        <v>11016801.870959654</v>
      </c>
      <c r="G29" s="512">
        <f t="shared" si="7"/>
        <v>1703250.9528342937</v>
      </c>
      <c r="H29" s="478">
        <f t="shared" si="8"/>
        <v>1703250.9528342937</v>
      </c>
      <c r="I29" s="501">
        <f t="shared" si="1"/>
        <v>0</v>
      </c>
      <c r="J29" s="501"/>
      <c r="K29" s="513"/>
      <c r="L29" s="505">
        <f t="shared" si="2"/>
        <v>0</v>
      </c>
      <c r="M29" s="513"/>
      <c r="N29" s="505">
        <f t="shared" si="3"/>
        <v>0</v>
      </c>
      <c r="O29" s="505">
        <f t="shared" si="4"/>
        <v>0</v>
      </c>
      <c r="P29" s="279"/>
    </row>
    <row r="30" spans="2:16" ht="12.5">
      <c r="B30" s="145" t="str">
        <f t="shared" si="0"/>
        <v/>
      </c>
      <c r="C30" s="496">
        <f>IF(D11="","-",+C29+1)</f>
        <v>2032</v>
      </c>
      <c r="D30" s="509">
        <f>IF(F29+SUM(E$17:E29)=D$10,F29,D$10-SUM(E$17:E29))</f>
        <v>11016801.870959654</v>
      </c>
      <c r="E30" s="510">
        <f t="shared" si="5"/>
        <v>386188.73170731706</v>
      </c>
      <c r="F30" s="511">
        <f t="shared" si="6"/>
        <v>10630613.139252337</v>
      </c>
      <c r="G30" s="512">
        <f t="shared" si="7"/>
        <v>1657877.2421404966</v>
      </c>
      <c r="H30" s="478">
        <f t="shared" si="8"/>
        <v>1657877.2421404966</v>
      </c>
      <c r="I30" s="501">
        <f t="shared" si="1"/>
        <v>0</v>
      </c>
      <c r="J30" s="501"/>
      <c r="K30" s="513"/>
      <c r="L30" s="505">
        <f t="shared" si="2"/>
        <v>0</v>
      </c>
      <c r="M30" s="513"/>
      <c r="N30" s="505">
        <f t="shared" si="3"/>
        <v>0</v>
      </c>
      <c r="O30" s="505">
        <f t="shared" si="4"/>
        <v>0</v>
      </c>
      <c r="P30" s="279"/>
    </row>
    <row r="31" spans="2:16" ht="12.5">
      <c r="B31" s="145" t="str">
        <f t="shared" si="0"/>
        <v/>
      </c>
      <c r="C31" s="496">
        <f>IF(D11="","-",+C30+1)</f>
        <v>2033</v>
      </c>
      <c r="D31" s="509">
        <f>IF(F30+SUM(E$17:E30)=D$10,F30,D$10-SUM(E$17:E30))</f>
        <v>10630613.139252337</v>
      </c>
      <c r="E31" s="510">
        <f t="shared" si="5"/>
        <v>386188.73170731706</v>
      </c>
      <c r="F31" s="511">
        <f t="shared" si="6"/>
        <v>10244424.407545019</v>
      </c>
      <c r="G31" s="512">
        <f t="shared" si="7"/>
        <v>1612503.5314467</v>
      </c>
      <c r="H31" s="478">
        <f t="shared" si="8"/>
        <v>1612503.5314467</v>
      </c>
      <c r="I31" s="501">
        <f t="shared" si="1"/>
        <v>0</v>
      </c>
      <c r="J31" s="501"/>
      <c r="K31" s="513"/>
      <c r="L31" s="505">
        <f t="shared" si="2"/>
        <v>0</v>
      </c>
      <c r="M31" s="513"/>
      <c r="N31" s="505">
        <f t="shared" si="3"/>
        <v>0</v>
      </c>
      <c r="O31" s="505">
        <f t="shared" si="4"/>
        <v>0</v>
      </c>
      <c r="P31" s="279"/>
    </row>
    <row r="32" spans="2:16" ht="12.5">
      <c r="B32" s="145" t="str">
        <f t="shared" si="0"/>
        <v/>
      </c>
      <c r="C32" s="496">
        <f>IF(D11="","-",+C31+1)</f>
        <v>2034</v>
      </c>
      <c r="D32" s="509">
        <f>IF(F31+SUM(E$17:E31)=D$10,F31,D$10-SUM(E$17:E31))</f>
        <v>10244424.407545019</v>
      </c>
      <c r="E32" s="510">
        <f t="shared" si="5"/>
        <v>386188.73170731706</v>
      </c>
      <c r="F32" s="511">
        <f t="shared" si="6"/>
        <v>9858235.6758377012</v>
      </c>
      <c r="G32" s="512">
        <f t="shared" si="7"/>
        <v>1567129.8207529029</v>
      </c>
      <c r="H32" s="478">
        <f t="shared" si="8"/>
        <v>1567129.8207529029</v>
      </c>
      <c r="I32" s="501">
        <f t="shared" si="1"/>
        <v>0</v>
      </c>
      <c r="J32" s="501"/>
      <c r="K32" s="513"/>
      <c r="L32" s="505">
        <f t="shared" si="2"/>
        <v>0</v>
      </c>
      <c r="M32" s="513"/>
      <c r="N32" s="505">
        <f t="shared" si="3"/>
        <v>0</v>
      </c>
      <c r="O32" s="505">
        <f t="shared" si="4"/>
        <v>0</v>
      </c>
      <c r="P32" s="279"/>
    </row>
    <row r="33" spans="2:16" ht="12.5">
      <c r="B33" s="145" t="str">
        <f t="shared" si="0"/>
        <v/>
      </c>
      <c r="C33" s="496">
        <f>IF(D11="","-",+C32+1)</f>
        <v>2035</v>
      </c>
      <c r="D33" s="509">
        <f>IF(F32+SUM(E$17:E32)=D$10,F32,D$10-SUM(E$17:E32))</f>
        <v>9858235.6758377012</v>
      </c>
      <c r="E33" s="510">
        <f t="shared" si="5"/>
        <v>386188.73170731706</v>
      </c>
      <c r="F33" s="511">
        <f t="shared" si="6"/>
        <v>9472046.9441303834</v>
      </c>
      <c r="G33" s="512">
        <f t="shared" si="7"/>
        <v>1521756.110059106</v>
      </c>
      <c r="H33" s="478">
        <f t="shared" si="8"/>
        <v>1521756.110059106</v>
      </c>
      <c r="I33" s="501">
        <f t="shared" si="1"/>
        <v>0</v>
      </c>
      <c r="J33" s="501"/>
      <c r="K33" s="513"/>
      <c r="L33" s="505">
        <f t="shared" si="2"/>
        <v>0</v>
      </c>
      <c r="M33" s="513"/>
      <c r="N33" s="505">
        <f t="shared" si="3"/>
        <v>0</v>
      </c>
      <c r="O33" s="505">
        <f t="shared" si="4"/>
        <v>0</v>
      </c>
      <c r="P33" s="279"/>
    </row>
    <row r="34" spans="2:16" ht="12.5">
      <c r="B34" s="145" t="str">
        <f t="shared" si="0"/>
        <v/>
      </c>
      <c r="C34" s="496">
        <f>IF(D11="","-",+C33+1)</f>
        <v>2036</v>
      </c>
      <c r="D34" s="509">
        <f>IF(F33+SUM(E$17:E33)=D$10,F33,D$10-SUM(E$17:E33))</f>
        <v>9472046.9441303834</v>
      </c>
      <c r="E34" s="510">
        <f t="shared" si="5"/>
        <v>386188.73170731706</v>
      </c>
      <c r="F34" s="511">
        <f t="shared" si="6"/>
        <v>9085858.2124230657</v>
      </c>
      <c r="G34" s="512">
        <f t="shared" si="7"/>
        <v>1476382.3993653089</v>
      </c>
      <c r="H34" s="478">
        <f t="shared" si="8"/>
        <v>1476382.3993653089</v>
      </c>
      <c r="I34" s="501">
        <f t="shared" si="1"/>
        <v>0</v>
      </c>
      <c r="J34" s="501"/>
      <c r="K34" s="513"/>
      <c r="L34" s="505">
        <f t="shared" si="2"/>
        <v>0</v>
      </c>
      <c r="M34" s="513"/>
      <c r="N34" s="505">
        <f t="shared" si="3"/>
        <v>0</v>
      </c>
      <c r="O34" s="505">
        <f t="shared" si="4"/>
        <v>0</v>
      </c>
      <c r="P34" s="279"/>
    </row>
    <row r="35" spans="2:16" ht="12.5">
      <c r="B35" s="145" t="str">
        <f t="shared" si="0"/>
        <v/>
      </c>
      <c r="C35" s="496">
        <f>IF(D11="","-",+C34+1)</f>
        <v>2037</v>
      </c>
      <c r="D35" s="509">
        <f>IF(F34+SUM(E$17:E34)=D$10,F34,D$10-SUM(E$17:E34))</f>
        <v>9085858.2124230657</v>
      </c>
      <c r="E35" s="510">
        <f t="shared" si="5"/>
        <v>386188.73170731706</v>
      </c>
      <c r="F35" s="511">
        <f t="shared" si="6"/>
        <v>8699669.4807157479</v>
      </c>
      <c r="G35" s="512">
        <f t="shared" si="7"/>
        <v>1431008.6886715123</v>
      </c>
      <c r="H35" s="478">
        <f t="shared" si="8"/>
        <v>1431008.6886715123</v>
      </c>
      <c r="I35" s="501">
        <f t="shared" si="1"/>
        <v>0</v>
      </c>
      <c r="J35" s="501"/>
      <c r="K35" s="513"/>
      <c r="L35" s="505">
        <f t="shared" si="2"/>
        <v>0</v>
      </c>
      <c r="M35" s="513"/>
      <c r="N35" s="505">
        <f t="shared" si="3"/>
        <v>0</v>
      </c>
      <c r="O35" s="505">
        <f t="shared" si="4"/>
        <v>0</v>
      </c>
      <c r="P35" s="279"/>
    </row>
    <row r="36" spans="2:16" ht="12.5">
      <c r="B36" s="145" t="str">
        <f t="shared" si="0"/>
        <v/>
      </c>
      <c r="C36" s="496">
        <f>IF(D11="","-",+C35+1)</f>
        <v>2038</v>
      </c>
      <c r="D36" s="509">
        <f>IF(F35+SUM(E$17:E35)=D$10,F35,D$10-SUM(E$17:E35))</f>
        <v>8699669.4807157479</v>
      </c>
      <c r="E36" s="510">
        <f t="shared" si="5"/>
        <v>386188.73170731706</v>
      </c>
      <c r="F36" s="511">
        <f t="shared" si="6"/>
        <v>8313480.7490084311</v>
      </c>
      <c r="G36" s="512">
        <f t="shared" si="7"/>
        <v>1385634.9779777154</v>
      </c>
      <c r="H36" s="478">
        <f t="shared" si="8"/>
        <v>1385634.9779777154</v>
      </c>
      <c r="I36" s="501">
        <f t="shared" si="1"/>
        <v>0</v>
      </c>
      <c r="J36" s="501"/>
      <c r="K36" s="513"/>
      <c r="L36" s="505">
        <f t="shared" si="2"/>
        <v>0</v>
      </c>
      <c r="M36" s="513"/>
      <c r="N36" s="505">
        <f t="shared" si="3"/>
        <v>0</v>
      </c>
      <c r="O36" s="505">
        <f t="shared" si="4"/>
        <v>0</v>
      </c>
      <c r="P36" s="279"/>
    </row>
    <row r="37" spans="2:16" ht="12.5">
      <c r="B37" s="145" t="str">
        <f t="shared" si="0"/>
        <v/>
      </c>
      <c r="C37" s="496">
        <f>IF(D11="","-",+C36+1)</f>
        <v>2039</v>
      </c>
      <c r="D37" s="509">
        <f>IF(F36+SUM(E$17:E36)=D$10,F36,D$10-SUM(E$17:E36))</f>
        <v>8313480.7490084311</v>
      </c>
      <c r="E37" s="510">
        <f t="shared" si="5"/>
        <v>386188.73170731706</v>
      </c>
      <c r="F37" s="511">
        <f t="shared" si="6"/>
        <v>7927292.0173011143</v>
      </c>
      <c r="G37" s="512">
        <f t="shared" si="7"/>
        <v>1340261.2672839183</v>
      </c>
      <c r="H37" s="478">
        <f t="shared" si="8"/>
        <v>1340261.2672839183</v>
      </c>
      <c r="I37" s="501">
        <f t="shared" si="1"/>
        <v>0</v>
      </c>
      <c r="J37" s="501"/>
      <c r="K37" s="513"/>
      <c r="L37" s="505">
        <f t="shared" si="2"/>
        <v>0</v>
      </c>
      <c r="M37" s="513"/>
      <c r="N37" s="505">
        <f t="shared" si="3"/>
        <v>0</v>
      </c>
      <c r="O37" s="505">
        <f t="shared" si="4"/>
        <v>0</v>
      </c>
      <c r="P37" s="279"/>
    </row>
    <row r="38" spans="2:16" ht="12.5">
      <c r="B38" s="145" t="str">
        <f t="shared" si="0"/>
        <v/>
      </c>
      <c r="C38" s="496">
        <f>IF(D11="","-",+C37+1)</f>
        <v>2040</v>
      </c>
      <c r="D38" s="509">
        <f>IF(F37+SUM(E$17:E37)=D$10,F37,D$10-SUM(E$17:E37))</f>
        <v>7927292.0173011143</v>
      </c>
      <c r="E38" s="510">
        <f t="shared" si="5"/>
        <v>386188.73170731706</v>
      </c>
      <c r="F38" s="511">
        <f t="shared" si="6"/>
        <v>7541103.2855937975</v>
      </c>
      <c r="G38" s="512">
        <f t="shared" si="7"/>
        <v>1294887.5565901217</v>
      </c>
      <c r="H38" s="478">
        <f t="shared" si="8"/>
        <v>1294887.5565901217</v>
      </c>
      <c r="I38" s="501">
        <f t="shared" si="1"/>
        <v>0</v>
      </c>
      <c r="J38" s="501"/>
      <c r="K38" s="513"/>
      <c r="L38" s="505">
        <f t="shared" si="2"/>
        <v>0</v>
      </c>
      <c r="M38" s="513"/>
      <c r="N38" s="505">
        <f t="shared" si="3"/>
        <v>0</v>
      </c>
      <c r="O38" s="505">
        <f t="shared" si="4"/>
        <v>0</v>
      </c>
      <c r="P38" s="279"/>
    </row>
    <row r="39" spans="2:16" ht="12.5">
      <c r="B39" s="145" t="str">
        <f t="shared" si="0"/>
        <v/>
      </c>
      <c r="C39" s="496">
        <f>IF(D11="","-",+C38+1)</f>
        <v>2041</v>
      </c>
      <c r="D39" s="509">
        <f>IF(F38+SUM(E$17:E38)=D$10,F38,D$10-SUM(E$17:E38))</f>
        <v>7541103.2855937975</v>
      </c>
      <c r="E39" s="510">
        <f t="shared" si="5"/>
        <v>386188.73170731706</v>
      </c>
      <c r="F39" s="511">
        <f t="shared" si="6"/>
        <v>7154914.5538864806</v>
      </c>
      <c r="G39" s="512">
        <f t="shared" si="7"/>
        <v>1249513.8458963248</v>
      </c>
      <c r="H39" s="478">
        <f t="shared" si="8"/>
        <v>1249513.8458963248</v>
      </c>
      <c r="I39" s="501">
        <f t="shared" si="1"/>
        <v>0</v>
      </c>
      <c r="J39" s="501"/>
      <c r="K39" s="513"/>
      <c r="L39" s="505">
        <f t="shared" si="2"/>
        <v>0</v>
      </c>
      <c r="M39" s="513"/>
      <c r="N39" s="505">
        <f t="shared" si="3"/>
        <v>0</v>
      </c>
      <c r="O39" s="505">
        <f t="shared" si="4"/>
        <v>0</v>
      </c>
      <c r="P39" s="279"/>
    </row>
    <row r="40" spans="2:16" ht="12.5">
      <c r="B40" s="145" t="str">
        <f t="shared" si="0"/>
        <v/>
      </c>
      <c r="C40" s="496">
        <f>IF(D11="","-",+C39+1)</f>
        <v>2042</v>
      </c>
      <c r="D40" s="509">
        <f>IF(F39+SUM(E$17:E39)=D$10,F39,D$10-SUM(E$17:E39))</f>
        <v>7154914.5538864806</v>
      </c>
      <c r="E40" s="510">
        <f t="shared" si="5"/>
        <v>386188.73170731706</v>
      </c>
      <c r="F40" s="511">
        <f t="shared" si="6"/>
        <v>6768725.8221791638</v>
      </c>
      <c r="G40" s="512">
        <f t="shared" si="7"/>
        <v>1204140.1352025282</v>
      </c>
      <c r="H40" s="478">
        <f t="shared" si="8"/>
        <v>1204140.1352025282</v>
      </c>
      <c r="I40" s="501">
        <f t="shared" si="1"/>
        <v>0</v>
      </c>
      <c r="J40" s="501"/>
      <c r="K40" s="513"/>
      <c r="L40" s="505">
        <f t="shared" si="2"/>
        <v>0</v>
      </c>
      <c r="M40" s="513"/>
      <c r="N40" s="505">
        <f t="shared" si="3"/>
        <v>0</v>
      </c>
      <c r="O40" s="505">
        <f t="shared" si="4"/>
        <v>0</v>
      </c>
      <c r="P40" s="279"/>
    </row>
    <row r="41" spans="2:16" ht="12.5">
      <c r="B41" s="145" t="str">
        <f t="shared" si="0"/>
        <v/>
      </c>
      <c r="C41" s="496">
        <f>IF(D11="","-",+C40+1)</f>
        <v>2043</v>
      </c>
      <c r="D41" s="509">
        <f>IF(F40+SUM(E$17:E40)=D$10,F40,D$10-SUM(E$17:E40))</f>
        <v>6768725.8221791638</v>
      </c>
      <c r="E41" s="510">
        <f t="shared" si="5"/>
        <v>386188.73170731706</v>
      </c>
      <c r="F41" s="511">
        <f t="shared" si="6"/>
        <v>6382537.090471847</v>
      </c>
      <c r="G41" s="512">
        <f t="shared" si="7"/>
        <v>1158766.4245087313</v>
      </c>
      <c r="H41" s="478">
        <f t="shared" si="8"/>
        <v>1158766.4245087313</v>
      </c>
      <c r="I41" s="501">
        <f t="shared" si="1"/>
        <v>0</v>
      </c>
      <c r="J41" s="501"/>
      <c r="K41" s="513"/>
      <c r="L41" s="505">
        <f t="shared" si="2"/>
        <v>0</v>
      </c>
      <c r="M41" s="513"/>
      <c r="N41" s="505">
        <f t="shared" si="3"/>
        <v>0</v>
      </c>
      <c r="O41" s="505">
        <f t="shared" si="4"/>
        <v>0</v>
      </c>
      <c r="P41" s="279"/>
    </row>
    <row r="42" spans="2:16" ht="12.5">
      <c r="B42" s="145" t="str">
        <f t="shared" si="0"/>
        <v/>
      </c>
      <c r="C42" s="496">
        <f>IF(D11="","-",+C41+1)</f>
        <v>2044</v>
      </c>
      <c r="D42" s="509">
        <f>IF(F41+SUM(E$17:E41)=D$10,F41,D$10-SUM(E$17:E41))</f>
        <v>6382537.090471847</v>
      </c>
      <c r="E42" s="510">
        <f t="shared" si="5"/>
        <v>386188.73170731706</v>
      </c>
      <c r="F42" s="511">
        <f t="shared" si="6"/>
        <v>5996348.3587645302</v>
      </c>
      <c r="G42" s="512">
        <f t="shared" si="7"/>
        <v>1113392.7138149347</v>
      </c>
      <c r="H42" s="478">
        <f t="shared" si="8"/>
        <v>1113392.7138149347</v>
      </c>
      <c r="I42" s="501">
        <f t="shared" si="1"/>
        <v>0</v>
      </c>
      <c r="J42" s="501"/>
      <c r="K42" s="513"/>
      <c r="L42" s="505">
        <f t="shared" si="2"/>
        <v>0</v>
      </c>
      <c r="M42" s="513"/>
      <c r="N42" s="505">
        <f t="shared" si="3"/>
        <v>0</v>
      </c>
      <c r="O42" s="505">
        <f t="shared" si="4"/>
        <v>0</v>
      </c>
      <c r="P42" s="279"/>
    </row>
    <row r="43" spans="2:16" ht="12.5">
      <c r="B43" s="145" t="str">
        <f t="shared" si="0"/>
        <v/>
      </c>
      <c r="C43" s="496">
        <f>IF(D11="","-",+C42+1)</f>
        <v>2045</v>
      </c>
      <c r="D43" s="509">
        <f>IF(F42+SUM(E$17:E42)=D$10,F42,D$10-SUM(E$17:E42))</f>
        <v>5996348.3587645302</v>
      </c>
      <c r="E43" s="510">
        <f t="shared" si="5"/>
        <v>386188.73170731706</v>
      </c>
      <c r="F43" s="511">
        <f t="shared" si="6"/>
        <v>5610159.6270572133</v>
      </c>
      <c r="G43" s="512">
        <f t="shared" si="7"/>
        <v>1068019.0031211376</v>
      </c>
      <c r="H43" s="478">
        <f t="shared" si="8"/>
        <v>1068019.0031211376</v>
      </c>
      <c r="I43" s="501">
        <f t="shared" si="1"/>
        <v>0</v>
      </c>
      <c r="J43" s="501"/>
      <c r="K43" s="513"/>
      <c r="L43" s="505">
        <f t="shared" si="2"/>
        <v>0</v>
      </c>
      <c r="M43" s="513"/>
      <c r="N43" s="505">
        <f t="shared" si="3"/>
        <v>0</v>
      </c>
      <c r="O43" s="505">
        <f t="shared" si="4"/>
        <v>0</v>
      </c>
      <c r="P43" s="279"/>
    </row>
    <row r="44" spans="2:16" ht="12.5">
      <c r="B44" s="145" t="str">
        <f t="shared" si="0"/>
        <v/>
      </c>
      <c r="C44" s="496">
        <f>IF(D11="","-",+C43+1)</f>
        <v>2046</v>
      </c>
      <c r="D44" s="509">
        <f>IF(F43+SUM(E$17:E43)=D$10,F43,D$10-SUM(E$17:E43))</f>
        <v>5610159.6270572133</v>
      </c>
      <c r="E44" s="510">
        <f t="shared" si="5"/>
        <v>386188.73170731706</v>
      </c>
      <c r="F44" s="511">
        <f t="shared" si="6"/>
        <v>5223970.8953498965</v>
      </c>
      <c r="G44" s="512">
        <f t="shared" si="7"/>
        <v>1022645.292427341</v>
      </c>
      <c r="H44" s="478">
        <f t="shared" si="8"/>
        <v>1022645.292427341</v>
      </c>
      <c r="I44" s="501">
        <f t="shared" si="1"/>
        <v>0</v>
      </c>
      <c r="J44" s="501"/>
      <c r="K44" s="513"/>
      <c r="L44" s="505">
        <f t="shared" si="2"/>
        <v>0</v>
      </c>
      <c r="M44" s="513"/>
      <c r="N44" s="505">
        <f t="shared" si="3"/>
        <v>0</v>
      </c>
      <c r="O44" s="505">
        <f t="shared" si="4"/>
        <v>0</v>
      </c>
      <c r="P44" s="279"/>
    </row>
    <row r="45" spans="2:16" ht="12.5">
      <c r="B45" s="145" t="str">
        <f t="shared" si="0"/>
        <v/>
      </c>
      <c r="C45" s="496">
        <f>IF(D11="","-",+C44+1)</f>
        <v>2047</v>
      </c>
      <c r="D45" s="509">
        <f>IF(F44+SUM(E$17:E44)=D$10,F44,D$10-SUM(E$17:E44))</f>
        <v>5223970.8953498965</v>
      </c>
      <c r="E45" s="510">
        <f t="shared" si="5"/>
        <v>386188.73170731706</v>
      </c>
      <c r="F45" s="511">
        <f t="shared" si="6"/>
        <v>4837782.1636425797</v>
      </c>
      <c r="G45" s="512">
        <f t="shared" si="7"/>
        <v>977271.58173354412</v>
      </c>
      <c r="H45" s="478">
        <f t="shared" si="8"/>
        <v>977271.58173354412</v>
      </c>
      <c r="I45" s="501">
        <f t="shared" si="1"/>
        <v>0</v>
      </c>
      <c r="J45" s="501"/>
      <c r="K45" s="513"/>
      <c r="L45" s="505">
        <f t="shared" si="2"/>
        <v>0</v>
      </c>
      <c r="M45" s="513"/>
      <c r="N45" s="505">
        <f t="shared" si="3"/>
        <v>0</v>
      </c>
      <c r="O45" s="505">
        <f t="shared" si="4"/>
        <v>0</v>
      </c>
      <c r="P45" s="279"/>
    </row>
    <row r="46" spans="2:16" ht="12.5">
      <c r="B46" s="145" t="str">
        <f t="shared" si="0"/>
        <v/>
      </c>
      <c r="C46" s="496">
        <f>IF(D11="","-",+C45+1)</f>
        <v>2048</v>
      </c>
      <c r="D46" s="509">
        <f>IF(F45+SUM(E$17:E45)=D$10,F45,D$10-SUM(E$17:E45))</f>
        <v>4837782.1636425797</v>
      </c>
      <c r="E46" s="510">
        <f t="shared" si="5"/>
        <v>386188.73170731706</v>
      </c>
      <c r="F46" s="511">
        <f t="shared" si="6"/>
        <v>4451593.4319352629</v>
      </c>
      <c r="G46" s="512">
        <f t="shared" si="7"/>
        <v>931897.87103974738</v>
      </c>
      <c r="H46" s="478">
        <f t="shared" si="8"/>
        <v>931897.87103974738</v>
      </c>
      <c r="I46" s="501">
        <f t="shared" si="1"/>
        <v>0</v>
      </c>
      <c r="J46" s="501"/>
      <c r="K46" s="513"/>
      <c r="L46" s="505">
        <f t="shared" si="2"/>
        <v>0</v>
      </c>
      <c r="M46" s="513"/>
      <c r="N46" s="505">
        <f t="shared" si="3"/>
        <v>0</v>
      </c>
      <c r="O46" s="505">
        <f t="shared" si="4"/>
        <v>0</v>
      </c>
      <c r="P46" s="279"/>
    </row>
    <row r="47" spans="2:16" ht="12.5">
      <c r="B47" s="145" t="str">
        <f t="shared" si="0"/>
        <v/>
      </c>
      <c r="C47" s="496">
        <f>IF(D11="","-",+C46+1)</f>
        <v>2049</v>
      </c>
      <c r="D47" s="509">
        <f>IF(F46+SUM(E$17:E46)=D$10,F46,D$10-SUM(E$17:E46))</f>
        <v>4451593.4319352629</v>
      </c>
      <c r="E47" s="510">
        <f t="shared" si="5"/>
        <v>386188.73170731706</v>
      </c>
      <c r="F47" s="511">
        <f t="shared" si="6"/>
        <v>4065404.700227946</v>
      </c>
      <c r="G47" s="512">
        <f t="shared" si="7"/>
        <v>886524.1603459504</v>
      </c>
      <c r="H47" s="478">
        <f t="shared" si="8"/>
        <v>886524.1603459504</v>
      </c>
      <c r="I47" s="501">
        <f t="shared" si="1"/>
        <v>0</v>
      </c>
      <c r="J47" s="501"/>
      <c r="K47" s="513"/>
      <c r="L47" s="505">
        <f t="shared" si="2"/>
        <v>0</v>
      </c>
      <c r="M47" s="513"/>
      <c r="N47" s="505">
        <f t="shared" si="3"/>
        <v>0</v>
      </c>
      <c r="O47" s="505">
        <f t="shared" si="4"/>
        <v>0</v>
      </c>
      <c r="P47" s="279"/>
    </row>
    <row r="48" spans="2:16" ht="12.5">
      <c r="B48" s="145" t="str">
        <f t="shared" si="0"/>
        <v/>
      </c>
      <c r="C48" s="496">
        <f>IF(D11="","-",+C47+1)</f>
        <v>2050</v>
      </c>
      <c r="D48" s="509">
        <f>IF(F47+SUM(E$17:E47)=D$10,F47,D$10-SUM(E$17:E47))</f>
        <v>4065404.700227946</v>
      </c>
      <c r="E48" s="510">
        <f t="shared" si="5"/>
        <v>386188.73170731706</v>
      </c>
      <c r="F48" s="511">
        <f t="shared" si="6"/>
        <v>3679215.9685206292</v>
      </c>
      <c r="G48" s="512">
        <f t="shared" si="7"/>
        <v>841150.44965215377</v>
      </c>
      <c r="H48" s="478">
        <f t="shared" si="8"/>
        <v>841150.44965215377</v>
      </c>
      <c r="I48" s="501">
        <f t="shared" si="1"/>
        <v>0</v>
      </c>
      <c r="J48" s="501"/>
      <c r="K48" s="513"/>
      <c r="L48" s="505">
        <f t="shared" si="2"/>
        <v>0</v>
      </c>
      <c r="M48" s="513"/>
      <c r="N48" s="505">
        <f t="shared" si="3"/>
        <v>0</v>
      </c>
      <c r="O48" s="505">
        <f t="shared" si="4"/>
        <v>0</v>
      </c>
      <c r="P48" s="279"/>
    </row>
    <row r="49" spans="2:16" ht="12.5">
      <c r="B49" s="145" t="str">
        <f t="shared" si="0"/>
        <v/>
      </c>
      <c r="C49" s="496">
        <f>IF(D11="","-",+C48+1)</f>
        <v>2051</v>
      </c>
      <c r="D49" s="509">
        <f>IF(F48+SUM(E$17:E48)=D$10,F48,D$10-SUM(E$17:E48))</f>
        <v>3679215.9685206292</v>
      </c>
      <c r="E49" s="510">
        <f t="shared" si="5"/>
        <v>386188.73170731706</v>
      </c>
      <c r="F49" s="511">
        <f t="shared" si="6"/>
        <v>3293027.2368133124</v>
      </c>
      <c r="G49" s="512">
        <f t="shared" si="7"/>
        <v>795776.7389583569</v>
      </c>
      <c r="H49" s="478">
        <f t="shared" si="8"/>
        <v>795776.7389583569</v>
      </c>
      <c r="I49" s="501">
        <f t="shared" si="1"/>
        <v>0</v>
      </c>
      <c r="J49" s="501"/>
      <c r="K49" s="513"/>
      <c r="L49" s="505">
        <f t="shared" si="2"/>
        <v>0</v>
      </c>
      <c r="M49" s="513"/>
      <c r="N49" s="505">
        <f t="shared" si="3"/>
        <v>0</v>
      </c>
      <c r="O49" s="505">
        <f t="shared" si="4"/>
        <v>0</v>
      </c>
      <c r="P49" s="279"/>
    </row>
    <row r="50" spans="2:16" ht="12.5">
      <c r="B50" s="145" t="str">
        <f t="shared" si="0"/>
        <v/>
      </c>
      <c r="C50" s="496">
        <f>IF(D11="","-",+C49+1)</f>
        <v>2052</v>
      </c>
      <c r="D50" s="509">
        <f>IF(F49+SUM(E$17:E49)=D$10,F49,D$10-SUM(E$17:E49))</f>
        <v>3293027.2368133124</v>
      </c>
      <c r="E50" s="510">
        <f t="shared" si="5"/>
        <v>386188.73170731706</v>
      </c>
      <c r="F50" s="511">
        <f t="shared" si="6"/>
        <v>2906838.5051059956</v>
      </c>
      <c r="G50" s="512">
        <f t="shared" si="7"/>
        <v>750403.02826456015</v>
      </c>
      <c r="H50" s="478">
        <f t="shared" si="8"/>
        <v>750403.02826456015</v>
      </c>
      <c r="I50" s="501">
        <f t="shared" si="1"/>
        <v>0</v>
      </c>
      <c r="J50" s="501"/>
      <c r="K50" s="513"/>
      <c r="L50" s="505">
        <f t="shared" si="2"/>
        <v>0</v>
      </c>
      <c r="M50" s="513"/>
      <c r="N50" s="505">
        <f t="shared" si="3"/>
        <v>0</v>
      </c>
      <c r="O50" s="505">
        <f t="shared" si="4"/>
        <v>0</v>
      </c>
      <c r="P50" s="279"/>
    </row>
    <row r="51" spans="2:16" ht="12.5">
      <c r="B51" s="145" t="str">
        <f t="shared" si="0"/>
        <v/>
      </c>
      <c r="C51" s="496">
        <f>IF(D11="","-",+C50+1)</f>
        <v>2053</v>
      </c>
      <c r="D51" s="509">
        <f>IF(F50+SUM(E$17:E50)=D$10,F50,D$10-SUM(E$17:E50))</f>
        <v>2906838.5051059956</v>
      </c>
      <c r="E51" s="510">
        <f t="shared" si="5"/>
        <v>386188.73170731706</v>
      </c>
      <c r="F51" s="511">
        <f t="shared" si="6"/>
        <v>2520649.7733986787</v>
      </c>
      <c r="G51" s="512">
        <f t="shared" si="7"/>
        <v>705029.31757076341</v>
      </c>
      <c r="H51" s="478">
        <f t="shared" si="8"/>
        <v>705029.31757076341</v>
      </c>
      <c r="I51" s="501">
        <f t="shared" si="1"/>
        <v>0</v>
      </c>
      <c r="J51" s="501"/>
      <c r="K51" s="513"/>
      <c r="L51" s="505">
        <f t="shared" si="2"/>
        <v>0</v>
      </c>
      <c r="M51" s="513"/>
      <c r="N51" s="505">
        <f t="shared" si="3"/>
        <v>0</v>
      </c>
      <c r="O51" s="505">
        <f t="shared" si="4"/>
        <v>0</v>
      </c>
      <c r="P51" s="279"/>
    </row>
    <row r="52" spans="2:16" ht="12.5">
      <c r="B52" s="145" t="str">
        <f t="shared" si="0"/>
        <v/>
      </c>
      <c r="C52" s="496">
        <f>IF(D11="","-",+C51+1)</f>
        <v>2054</v>
      </c>
      <c r="D52" s="509">
        <f>IF(F51+SUM(E$17:E51)=D$10,F51,D$10-SUM(E$17:E51))</f>
        <v>2520649.7733986787</v>
      </c>
      <c r="E52" s="510">
        <f t="shared" si="5"/>
        <v>386188.73170731706</v>
      </c>
      <c r="F52" s="511">
        <f t="shared" si="6"/>
        <v>2134461.0416913619</v>
      </c>
      <c r="G52" s="512">
        <f t="shared" si="7"/>
        <v>659655.60687696654</v>
      </c>
      <c r="H52" s="478">
        <f t="shared" si="8"/>
        <v>659655.60687696654</v>
      </c>
      <c r="I52" s="501">
        <f t="shared" si="1"/>
        <v>0</v>
      </c>
      <c r="J52" s="501"/>
      <c r="K52" s="513"/>
      <c r="L52" s="505">
        <f t="shared" si="2"/>
        <v>0</v>
      </c>
      <c r="M52" s="513"/>
      <c r="N52" s="505">
        <f t="shared" si="3"/>
        <v>0</v>
      </c>
      <c r="O52" s="505">
        <f t="shared" si="4"/>
        <v>0</v>
      </c>
      <c r="P52" s="279"/>
    </row>
    <row r="53" spans="2:16" ht="12.5">
      <c r="B53" s="145" t="str">
        <f t="shared" si="0"/>
        <v/>
      </c>
      <c r="C53" s="496">
        <f>IF(D11="","-",+C52+1)</f>
        <v>2055</v>
      </c>
      <c r="D53" s="509">
        <f>IF(F52+SUM(E$17:E52)=D$10,F52,D$10-SUM(E$17:E52))</f>
        <v>2134461.0416913619</v>
      </c>
      <c r="E53" s="510">
        <f t="shared" si="5"/>
        <v>386188.73170731706</v>
      </c>
      <c r="F53" s="511">
        <f t="shared" si="6"/>
        <v>1748272.3099840449</v>
      </c>
      <c r="G53" s="512">
        <f t="shared" si="7"/>
        <v>614281.89618316968</v>
      </c>
      <c r="H53" s="478">
        <f t="shared" si="8"/>
        <v>614281.89618316968</v>
      </c>
      <c r="I53" s="501">
        <f t="shared" si="1"/>
        <v>0</v>
      </c>
      <c r="J53" s="501"/>
      <c r="K53" s="513"/>
      <c r="L53" s="505">
        <f t="shared" si="2"/>
        <v>0</v>
      </c>
      <c r="M53" s="513"/>
      <c r="N53" s="505">
        <f t="shared" si="3"/>
        <v>0</v>
      </c>
      <c r="O53" s="505">
        <f t="shared" si="4"/>
        <v>0</v>
      </c>
      <c r="P53" s="279"/>
    </row>
    <row r="54" spans="2:16" ht="12.5">
      <c r="B54" s="145" t="str">
        <f t="shared" si="0"/>
        <v/>
      </c>
      <c r="C54" s="496">
        <f>IF(D11="","-",+C53+1)</f>
        <v>2056</v>
      </c>
      <c r="D54" s="509">
        <f>IF(F53+SUM(E$17:E53)=D$10,F53,D$10-SUM(E$17:E53))</f>
        <v>1748272.3099840449</v>
      </c>
      <c r="E54" s="510">
        <f t="shared" si="5"/>
        <v>386188.73170731706</v>
      </c>
      <c r="F54" s="511">
        <f t="shared" si="6"/>
        <v>1362083.5782767278</v>
      </c>
      <c r="G54" s="512">
        <f t="shared" si="7"/>
        <v>568908.18548937282</v>
      </c>
      <c r="H54" s="478">
        <f t="shared" si="8"/>
        <v>568908.18548937282</v>
      </c>
      <c r="I54" s="501">
        <f t="shared" si="1"/>
        <v>0</v>
      </c>
      <c r="J54" s="501"/>
      <c r="K54" s="513"/>
      <c r="L54" s="505">
        <f t="shared" si="2"/>
        <v>0</v>
      </c>
      <c r="M54" s="513"/>
      <c r="N54" s="505">
        <f t="shared" si="3"/>
        <v>0</v>
      </c>
      <c r="O54" s="505">
        <f t="shared" si="4"/>
        <v>0</v>
      </c>
      <c r="P54" s="279"/>
    </row>
    <row r="55" spans="2:16" ht="12.5">
      <c r="B55" s="145" t="str">
        <f t="shared" si="0"/>
        <v/>
      </c>
      <c r="C55" s="496">
        <f>IF(D11="","-",+C54+1)</f>
        <v>2057</v>
      </c>
      <c r="D55" s="509">
        <f>IF(F54+SUM(E$17:E54)=D$10,F54,D$10-SUM(E$17:E54))</f>
        <v>1362083.5782767278</v>
      </c>
      <c r="E55" s="510">
        <f t="shared" si="5"/>
        <v>386188.73170731706</v>
      </c>
      <c r="F55" s="511">
        <f t="shared" si="6"/>
        <v>975894.84656941076</v>
      </c>
      <c r="G55" s="512">
        <f t="shared" si="7"/>
        <v>523534.47479557607</v>
      </c>
      <c r="H55" s="478">
        <f t="shared" si="8"/>
        <v>523534.47479557607</v>
      </c>
      <c r="I55" s="501">
        <f t="shared" si="1"/>
        <v>0</v>
      </c>
      <c r="J55" s="501"/>
      <c r="K55" s="513"/>
      <c r="L55" s="505">
        <f t="shared" si="2"/>
        <v>0</v>
      </c>
      <c r="M55" s="513"/>
      <c r="N55" s="505">
        <f t="shared" si="3"/>
        <v>0</v>
      </c>
      <c r="O55" s="505">
        <f t="shared" si="4"/>
        <v>0</v>
      </c>
      <c r="P55" s="279"/>
    </row>
    <row r="56" spans="2:16" ht="12.5">
      <c r="B56" s="145" t="str">
        <f t="shared" si="0"/>
        <v/>
      </c>
      <c r="C56" s="496">
        <f>IF(D11="","-",+C55+1)</f>
        <v>2058</v>
      </c>
      <c r="D56" s="509">
        <f>IF(F55+SUM(E$17:E55)=D$10,F55,D$10-SUM(E$17:E55))</f>
        <v>975894.84656941076</v>
      </c>
      <c r="E56" s="510">
        <f t="shared" si="5"/>
        <v>386188.73170731706</v>
      </c>
      <c r="F56" s="511">
        <f t="shared" si="6"/>
        <v>589706.1148620937</v>
      </c>
      <c r="G56" s="512">
        <f t="shared" si="7"/>
        <v>478160.7641017792</v>
      </c>
      <c r="H56" s="478">
        <f t="shared" si="8"/>
        <v>478160.7641017792</v>
      </c>
      <c r="I56" s="501">
        <f t="shared" si="1"/>
        <v>0</v>
      </c>
      <c r="J56" s="501"/>
      <c r="K56" s="513"/>
      <c r="L56" s="505">
        <f t="shared" si="2"/>
        <v>0</v>
      </c>
      <c r="M56" s="513"/>
      <c r="N56" s="505">
        <f t="shared" si="3"/>
        <v>0</v>
      </c>
      <c r="O56" s="505">
        <f t="shared" si="4"/>
        <v>0</v>
      </c>
      <c r="P56" s="279"/>
    </row>
    <row r="57" spans="2:16" ht="12.5">
      <c r="B57" s="145" t="str">
        <f t="shared" si="0"/>
        <v/>
      </c>
      <c r="C57" s="496">
        <f>IF(D11="","-",+C56+1)</f>
        <v>2059</v>
      </c>
      <c r="D57" s="509">
        <f>IF(F56+SUM(E$17:E56)=D$10,F56,D$10-SUM(E$17:E56))</f>
        <v>589706.1148620937</v>
      </c>
      <c r="E57" s="510">
        <f t="shared" si="5"/>
        <v>386188.73170731706</v>
      </c>
      <c r="F57" s="511">
        <f t="shared" si="6"/>
        <v>203517.38315477665</v>
      </c>
      <c r="G57" s="512">
        <f t="shared" si="7"/>
        <v>432787.0534079824</v>
      </c>
      <c r="H57" s="478">
        <f t="shared" si="8"/>
        <v>432787.0534079824</v>
      </c>
      <c r="I57" s="501">
        <f t="shared" si="1"/>
        <v>0</v>
      </c>
      <c r="J57" s="501"/>
      <c r="K57" s="513"/>
      <c r="L57" s="505">
        <f t="shared" si="2"/>
        <v>0</v>
      </c>
      <c r="M57" s="513"/>
      <c r="N57" s="505">
        <f t="shared" si="3"/>
        <v>0</v>
      </c>
      <c r="O57" s="505">
        <f t="shared" si="4"/>
        <v>0</v>
      </c>
      <c r="P57" s="279"/>
    </row>
    <row r="58" spans="2:16" ht="12.5">
      <c r="B58" s="145" t="str">
        <f t="shared" si="0"/>
        <v/>
      </c>
      <c r="C58" s="496">
        <f>IF(D11="","-",+C57+1)</f>
        <v>2060</v>
      </c>
      <c r="D58" s="509">
        <f>IF(F57+SUM(E$17:E57)=D$10,F57,D$10-SUM(E$17:E57))</f>
        <v>203517.38315477665</v>
      </c>
      <c r="E58" s="510">
        <f t="shared" si="5"/>
        <v>203517.38315477665</v>
      </c>
      <c r="F58" s="511">
        <f t="shared" si="6"/>
        <v>0</v>
      </c>
      <c r="G58" s="512">
        <f t="shared" si="7"/>
        <v>215473.1163316601</v>
      </c>
      <c r="H58" s="478">
        <f t="shared" si="8"/>
        <v>215473.1163316601</v>
      </c>
      <c r="I58" s="501">
        <f t="shared" si="1"/>
        <v>0</v>
      </c>
      <c r="J58" s="501"/>
      <c r="K58" s="513"/>
      <c r="L58" s="505">
        <f t="shared" si="2"/>
        <v>0</v>
      </c>
      <c r="M58" s="513"/>
      <c r="N58" s="505">
        <f t="shared" si="3"/>
        <v>0</v>
      </c>
      <c r="O58" s="505">
        <f t="shared" si="4"/>
        <v>0</v>
      </c>
      <c r="P58" s="279"/>
    </row>
    <row r="59" spans="2:16" ht="12.5">
      <c r="B59" s="145" t="str">
        <f t="shared" si="0"/>
        <v/>
      </c>
      <c r="C59" s="496">
        <f>IF(D11="","-",+C58+1)</f>
        <v>2061</v>
      </c>
      <c r="D59" s="509">
        <f>IF(F58+SUM(E$17:E58)=D$10,F58,D$10-SUM(E$17:E58))</f>
        <v>0</v>
      </c>
      <c r="E59" s="510">
        <f t="shared" si="5"/>
        <v>0</v>
      </c>
      <c r="F59" s="511">
        <f t="shared" si="6"/>
        <v>0</v>
      </c>
      <c r="G59" s="512">
        <f t="shared" si="7"/>
        <v>0</v>
      </c>
      <c r="H59" s="478">
        <f t="shared" si="8"/>
        <v>0</v>
      </c>
      <c r="I59" s="501">
        <f t="shared" si="1"/>
        <v>0</v>
      </c>
      <c r="J59" s="501"/>
      <c r="K59" s="513"/>
      <c r="L59" s="505">
        <f t="shared" si="2"/>
        <v>0</v>
      </c>
      <c r="M59" s="513"/>
      <c r="N59" s="505">
        <f t="shared" si="3"/>
        <v>0</v>
      </c>
      <c r="O59" s="505">
        <f t="shared" si="4"/>
        <v>0</v>
      </c>
      <c r="P59" s="279"/>
    </row>
    <row r="60" spans="2:16" ht="12.5">
      <c r="B60" s="145" t="str">
        <f t="shared" si="0"/>
        <v/>
      </c>
      <c r="C60" s="496">
        <f>IF(D11="","-",+C59+1)</f>
        <v>2062</v>
      </c>
      <c r="D60" s="509">
        <f>IF(F59+SUM(E$17:E59)=D$10,F59,D$10-SUM(E$17:E59))</f>
        <v>0</v>
      </c>
      <c r="E60" s="510">
        <f t="shared" si="5"/>
        <v>0</v>
      </c>
      <c r="F60" s="511">
        <f t="shared" si="6"/>
        <v>0</v>
      </c>
      <c r="G60" s="512">
        <f t="shared" si="7"/>
        <v>0</v>
      </c>
      <c r="H60" s="478">
        <f t="shared" si="8"/>
        <v>0</v>
      </c>
      <c r="I60" s="501">
        <f t="shared" si="1"/>
        <v>0</v>
      </c>
      <c r="J60" s="501"/>
      <c r="K60" s="513"/>
      <c r="L60" s="505">
        <f t="shared" si="2"/>
        <v>0</v>
      </c>
      <c r="M60" s="513"/>
      <c r="N60" s="505">
        <f t="shared" si="3"/>
        <v>0</v>
      </c>
      <c r="O60" s="505">
        <f t="shared" si="4"/>
        <v>0</v>
      </c>
      <c r="P60" s="279"/>
    </row>
    <row r="61" spans="2:16" ht="12.5">
      <c r="B61" s="145" t="str">
        <f t="shared" si="0"/>
        <v/>
      </c>
      <c r="C61" s="496">
        <f>IF(D11="","-",+C60+1)</f>
        <v>2063</v>
      </c>
      <c r="D61" s="509">
        <f>IF(F60+SUM(E$17:E60)=D$10,F60,D$10-SUM(E$17:E60))</f>
        <v>0</v>
      </c>
      <c r="E61" s="510">
        <f t="shared" si="5"/>
        <v>0</v>
      </c>
      <c r="F61" s="511">
        <f t="shared" si="6"/>
        <v>0</v>
      </c>
      <c r="G61" s="524">
        <f t="shared" si="7"/>
        <v>0</v>
      </c>
      <c r="H61" s="478">
        <f t="shared" si="8"/>
        <v>0</v>
      </c>
      <c r="I61" s="501">
        <f t="shared" si="1"/>
        <v>0</v>
      </c>
      <c r="J61" s="501"/>
      <c r="K61" s="513"/>
      <c r="L61" s="505">
        <f t="shared" si="2"/>
        <v>0</v>
      </c>
      <c r="M61" s="513"/>
      <c r="N61" s="505">
        <f t="shared" si="3"/>
        <v>0</v>
      </c>
      <c r="O61" s="505">
        <f t="shared" si="4"/>
        <v>0</v>
      </c>
      <c r="P61" s="279"/>
    </row>
    <row r="62" spans="2:16" ht="12.5">
      <c r="B62" s="145" t="str">
        <f t="shared" si="0"/>
        <v/>
      </c>
      <c r="C62" s="496">
        <f>IF(D11="","-",+C61+1)</f>
        <v>2064</v>
      </c>
      <c r="D62" s="509">
        <f>IF(F61+SUM(E$17:E61)=D$10,F61,D$10-SUM(E$17:E61))</f>
        <v>0</v>
      </c>
      <c r="E62" s="510">
        <f t="shared" si="5"/>
        <v>0</v>
      </c>
      <c r="F62" s="511">
        <f t="shared" si="6"/>
        <v>0</v>
      </c>
      <c r="G62" s="524">
        <f t="shared" si="7"/>
        <v>0</v>
      </c>
      <c r="H62" s="478">
        <f t="shared" si="8"/>
        <v>0</v>
      </c>
      <c r="I62" s="501">
        <f t="shared" si="1"/>
        <v>0</v>
      </c>
      <c r="J62" s="501"/>
      <c r="K62" s="513"/>
      <c r="L62" s="505">
        <f t="shared" si="2"/>
        <v>0</v>
      </c>
      <c r="M62" s="513"/>
      <c r="N62" s="505">
        <f t="shared" si="3"/>
        <v>0</v>
      </c>
      <c r="O62" s="505">
        <f t="shared" si="4"/>
        <v>0</v>
      </c>
      <c r="P62" s="279"/>
    </row>
    <row r="63" spans="2:16" ht="12.5">
      <c r="B63" s="145" t="str">
        <f t="shared" si="0"/>
        <v/>
      </c>
      <c r="C63" s="496">
        <f>IF(D11="","-",+C62+1)</f>
        <v>2065</v>
      </c>
      <c r="D63" s="509">
        <f>IF(F62+SUM(E$17:E62)=D$10,F62,D$10-SUM(E$17:E62))</f>
        <v>0</v>
      </c>
      <c r="E63" s="510">
        <f t="shared" si="5"/>
        <v>0</v>
      </c>
      <c r="F63" s="511">
        <f t="shared" si="6"/>
        <v>0</v>
      </c>
      <c r="G63" s="524">
        <f t="shared" si="7"/>
        <v>0</v>
      </c>
      <c r="H63" s="478">
        <f t="shared" si="8"/>
        <v>0</v>
      </c>
      <c r="I63" s="501">
        <f t="shared" si="1"/>
        <v>0</v>
      </c>
      <c r="J63" s="501"/>
      <c r="K63" s="513"/>
      <c r="L63" s="505">
        <f t="shared" si="2"/>
        <v>0</v>
      </c>
      <c r="M63" s="513"/>
      <c r="N63" s="505">
        <f t="shared" si="3"/>
        <v>0</v>
      </c>
      <c r="O63" s="505">
        <f t="shared" si="4"/>
        <v>0</v>
      </c>
      <c r="P63" s="279"/>
    </row>
    <row r="64" spans="2:16" ht="12.5">
      <c r="B64" s="145" t="str">
        <f t="shared" si="0"/>
        <v/>
      </c>
      <c r="C64" s="496">
        <f>IF(D11="","-",+C63+1)</f>
        <v>2066</v>
      </c>
      <c r="D64" s="509">
        <f>IF(F63+SUM(E$17:E63)=D$10,F63,D$10-SUM(E$17:E63))</f>
        <v>0</v>
      </c>
      <c r="E64" s="510">
        <f t="shared" si="5"/>
        <v>0</v>
      </c>
      <c r="F64" s="511">
        <f t="shared" si="6"/>
        <v>0</v>
      </c>
      <c r="G64" s="524">
        <f t="shared" si="7"/>
        <v>0</v>
      </c>
      <c r="H64" s="478">
        <f t="shared" si="8"/>
        <v>0</v>
      </c>
      <c r="I64" s="501">
        <f t="shared" si="1"/>
        <v>0</v>
      </c>
      <c r="J64" s="501"/>
      <c r="K64" s="513"/>
      <c r="L64" s="505">
        <f t="shared" si="2"/>
        <v>0</v>
      </c>
      <c r="M64" s="513"/>
      <c r="N64" s="505">
        <f t="shared" si="3"/>
        <v>0</v>
      </c>
      <c r="O64" s="505">
        <f t="shared" si="4"/>
        <v>0</v>
      </c>
      <c r="P64" s="279"/>
    </row>
    <row r="65" spans="2:16" ht="12.5">
      <c r="B65" s="145" t="str">
        <f t="shared" si="0"/>
        <v/>
      </c>
      <c r="C65" s="496">
        <f>IF(D11="","-",+C64+1)</f>
        <v>2067</v>
      </c>
      <c r="D65" s="509">
        <f>IF(F64+SUM(E$17:E64)=D$10,F64,D$10-SUM(E$17:E64))</f>
        <v>0</v>
      </c>
      <c r="E65" s="510">
        <f t="shared" si="5"/>
        <v>0</v>
      </c>
      <c r="F65" s="511">
        <f t="shared" si="6"/>
        <v>0</v>
      </c>
      <c r="G65" s="524">
        <f t="shared" si="7"/>
        <v>0</v>
      </c>
      <c r="H65" s="478">
        <f t="shared" si="8"/>
        <v>0</v>
      </c>
      <c r="I65" s="501">
        <f t="shared" si="1"/>
        <v>0</v>
      </c>
      <c r="J65" s="501"/>
      <c r="K65" s="513"/>
      <c r="L65" s="505">
        <f t="shared" si="2"/>
        <v>0</v>
      </c>
      <c r="M65" s="513"/>
      <c r="N65" s="505">
        <f t="shared" si="3"/>
        <v>0</v>
      </c>
      <c r="O65" s="505">
        <f t="shared" si="4"/>
        <v>0</v>
      </c>
      <c r="P65" s="279"/>
    </row>
    <row r="66" spans="2:16" ht="12.5">
      <c r="B66" s="145" t="str">
        <f t="shared" si="0"/>
        <v/>
      </c>
      <c r="C66" s="496">
        <f>IF(D11="","-",+C65+1)</f>
        <v>2068</v>
      </c>
      <c r="D66" s="509">
        <f>IF(F65+SUM(E$17:E65)=D$10,F65,D$10-SUM(E$17:E65))</f>
        <v>0</v>
      </c>
      <c r="E66" s="510">
        <f t="shared" si="5"/>
        <v>0</v>
      </c>
      <c r="F66" s="511">
        <f t="shared" si="6"/>
        <v>0</v>
      </c>
      <c r="G66" s="524">
        <f t="shared" si="7"/>
        <v>0</v>
      </c>
      <c r="H66" s="478">
        <f t="shared" si="8"/>
        <v>0</v>
      </c>
      <c r="I66" s="501">
        <f t="shared" si="1"/>
        <v>0</v>
      </c>
      <c r="J66" s="501"/>
      <c r="K66" s="513"/>
      <c r="L66" s="505">
        <f t="shared" si="2"/>
        <v>0</v>
      </c>
      <c r="M66" s="513"/>
      <c r="N66" s="505">
        <f t="shared" si="3"/>
        <v>0</v>
      </c>
      <c r="O66" s="505">
        <f t="shared" si="4"/>
        <v>0</v>
      </c>
      <c r="P66" s="279"/>
    </row>
    <row r="67" spans="2:16" ht="12.5">
      <c r="B67" s="145" t="str">
        <f t="shared" si="0"/>
        <v/>
      </c>
      <c r="C67" s="496">
        <f>IF(D11="","-",+C66+1)</f>
        <v>2069</v>
      </c>
      <c r="D67" s="509">
        <f>IF(F66+SUM(E$17:E66)=D$10,F66,D$10-SUM(E$17:E66))</f>
        <v>0</v>
      </c>
      <c r="E67" s="510">
        <f t="shared" si="5"/>
        <v>0</v>
      </c>
      <c r="F67" s="511">
        <f t="shared" si="6"/>
        <v>0</v>
      </c>
      <c r="G67" s="524">
        <f t="shared" si="7"/>
        <v>0</v>
      </c>
      <c r="H67" s="478">
        <f t="shared" si="8"/>
        <v>0</v>
      </c>
      <c r="I67" s="501">
        <f t="shared" si="1"/>
        <v>0</v>
      </c>
      <c r="J67" s="501"/>
      <c r="K67" s="513"/>
      <c r="L67" s="505">
        <f t="shared" si="2"/>
        <v>0</v>
      </c>
      <c r="M67" s="513"/>
      <c r="N67" s="505">
        <f t="shared" si="3"/>
        <v>0</v>
      </c>
      <c r="O67" s="505">
        <f t="shared" si="4"/>
        <v>0</v>
      </c>
      <c r="P67" s="279"/>
    </row>
    <row r="68" spans="2:16" ht="12.5">
      <c r="B68" s="145" t="str">
        <f t="shared" si="0"/>
        <v/>
      </c>
      <c r="C68" s="496">
        <f>IF(D11="","-",+C67+1)</f>
        <v>2070</v>
      </c>
      <c r="D68" s="509">
        <f>IF(F67+SUM(E$17:E67)=D$10,F67,D$10-SUM(E$17:E67))</f>
        <v>0</v>
      </c>
      <c r="E68" s="510">
        <f t="shared" si="5"/>
        <v>0</v>
      </c>
      <c r="F68" s="511">
        <f t="shared" si="6"/>
        <v>0</v>
      </c>
      <c r="G68" s="524">
        <f t="shared" si="7"/>
        <v>0</v>
      </c>
      <c r="H68" s="478">
        <f t="shared" si="8"/>
        <v>0</v>
      </c>
      <c r="I68" s="501">
        <f t="shared" si="1"/>
        <v>0</v>
      </c>
      <c r="J68" s="501"/>
      <c r="K68" s="513"/>
      <c r="L68" s="505">
        <f t="shared" si="2"/>
        <v>0</v>
      </c>
      <c r="M68" s="513"/>
      <c r="N68" s="505">
        <f t="shared" si="3"/>
        <v>0</v>
      </c>
      <c r="O68" s="505">
        <f t="shared" si="4"/>
        <v>0</v>
      </c>
      <c r="P68" s="279"/>
    </row>
    <row r="69" spans="2:16" ht="12.5">
      <c r="B69" s="145" t="str">
        <f t="shared" si="0"/>
        <v/>
      </c>
      <c r="C69" s="496">
        <f>IF(D11="","-",+C68+1)</f>
        <v>2071</v>
      </c>
      <c r="D69" s="509">
        <f>IF(F68+SUM(E$17:E68)=D$10,F68,D$10-SUM(E$17:E68))</f>
        <v>0</v>
      </c>
      <c r="E69" s="510">
        <f t="shared" si="5"/>
        <v>0</v>
      </c>
      <c r="F69" s="511">
        <f t="shared" si="6"/>
        <v>0</v>
      </c>
      <c r="G69" s="524">
        <f t="shared" si="7"/>
        <v>0</v>
      </c>
      <c r="H69" s="478">
        <f t="shared" si="8"/>
        <v>0</v>
      </c>
      <c r="I69" s="501">
        <f t="shared" si="1"/>
        <v>0</v>
      </c>
      <c r="J69" s="501"/>
      <c r="K69" s="513"/>
      <c r="L69" s="505">
        <f t="shared" si="2"/>
        <v>0</v>
      </c>
      <c r="M69" s="513"/>
      <c r="N69" s="505">
        <f t="shared" si="3"/>
        <v>0</v>
      </c>
      <c r="O69" s="505">
        <f t="shared" si="4"/>
        <v>0</v>
      </c>
      <c r="P69" s="279"/>
    </row>
    <row r="70" spans="2:16" ht="12.5">
      <c r="B70" s="145" t="str">
        <f t="shared" si="0"/>
        <v/>
      </c>
      <c r="C70" s="496">
        <f>IF(D11="","-",+C69+1)</f>
        <v>2072</v>
      </c>
      <c r="D70" s="509">
        <f>IF(F69+SUM(E$17:E69)=D$10,F69,D$10-SUM(E$17:E69))</f>
        <v>0</v>
      </c>
      <c r="E70" s="510">
        <f t="shared" si="5"/>
        <v>0</v>
      </c>
      <c r="F70" s="511">
        <f t="shared" si="6"/>
        <v>0</v>
      </c>
      <c r="G70" s="524">
        <f t="shared" si="7"/>
        <v>0</v>
      </c>
      <c r="H70" s="478">
        <f t="shared" si="8"/>
        <v>0</v>
      </c>
      <c r="I70" s="501">
        <f t="shared" si="1"/>
        <v>0</v>
      </c>
      <c r="J70" s="501"/>
      <c r="K70" s="513"/>
      <c r="L70" s="505">
        <f t="shared" si="2"/>
        <v>0</v>
      </c>
      <c r="M70" s="513"/>
      <c r="N70" s="505">
        <f t="shared" si="3"/>
        <v>0</v>
      </c>
      <c r="O70" s="505">
        <f t="shared" si="4"/>
        <v>0</v>
      </c>
      <c r="P70" s="279"/>
    </row>
    <row r="71" spans="2:16" ht="12.5">
      <c r="B71" s="145" t="str">
        <f t="shared" si="0"/>
        <v/>
      </c>
      <c r="C71" s="496">
        <f>IF(D11="","-",+C70+1)</f>
        <v>2073</v>
      </c>
      <c r="D71" s="509">
        <f>IF(F70+SUM(E$17:E70)=D$10,F70,D$10-SUM(E$17:E70))</f>
        <v>0</v>
      </c>
      <c r="E71" s="510">
        <f t="shared" si="5"/>
        <v>0</v>
      </c>
      <c r="F71" s="511">
        <f t="shared" si="6"/>
        <v>0</v>
      </c>
      <c r="G71" s="524">
        <f t="shared" si="7"/>
        <v>0</v>
      </c>
      <c r="H71" s="478">
        <f t="shared" si="8"/>
        <v>0</v>
      </c>
      <c r="I71" s="501">
        <f t="shared" si="1"/>
        <v>0</v>
      </c>
      <c r="J71" s="501"/>
      <c r="K71" s="513"/>
      <c r="L71" s="505">
        <f t="shared" si="2"/>
        <v>0</v>
      </c>
      <c r="M71" s="513"/>
      <c r="N71" s="505">
        <f t="shared" si="3"/>
        <v>0</v>
      </c>
      <c r="O71" s="505">
        <f t="shared" si="4"/>
        <v>0</v>
      </c>
      <c r="P71" s="279"/>
    </row>
    <row r="72" spans="2:16" ht="12.5">
      <c r="C72" s="496">
        <f>IF(D12="","-",+C71+1)</f>
        <v>2074</v>
      </c>
      <c r="D72" s="509">
        <f>IF(F71+SUM(E$17:E71)=D$10,F71,D$10-SUM(E$17:E71))</f>
        <v>0</v>
      </c>
      <c r="E72" s="510">
        <f>IF(+I$14&lt;F71,I$14,D72)</f>
        <v>0</v>
      </c>
      <c r="F72" s="511">
        <f>+D72-E72</f>
        <v>0</v>
      </c>
      <c r="G72" s="524">
        <f>(D72+F72)/2*I$12+E72</f>
        <v>0</v>
      </c>
      <c r="H72" s="478">
        <f>+(D72+F72)/2*I$13+E72</f>
        <v>0</v>
      </c>
      <c r="I72" s="501">
        <f>H72-G72</f>
        <v>0</v>
      </c>
      <c r="J72" s="501"/>
      <c r="K72" s="513"/>
      <c r="L72" s="505">
        <f>IF(K72&lt;&gt;0,+G72-K72,0)</f>
        <v>0</v>
      </c>
      <c r="M72" s="513"/>
      <c r="N72" s="505">
        <f>IF(M72&lt;&gt;0,+H72-M72,0)</f>
        <v>0</v>
      </c>
      <c r="O72" s="505">
        <f>+N72-L72</f>
        <v>0</v>
      </c>
      <c r="P72" s="279"/>
    </row>
    <row r="73" spans="2:16" ht="13" thickBot="1">
      <c r="B73" s="145" t="str">
        <f>IF(D73=F71,"","IU")</f>
        <v/>
      </c>
      <c r="C73" s="525">
        <f>IF(D13="","-",+C72+1)</f>
        <v>2075</v>
      </c>
      <c r="D73" s="527">
        <f>IF(F72+SUM(E$17:E72)=D$10,F72,D$10-SUM(E$17:E72))</f>
        <v>0</v>
      </c>
      <c r="E73" s="527">
        <f>IF(+I$14&lt;F72,I$14,D73)</f>
        <v>0</v>
      </c>
      <c r="F73" s="528">
        <f>+D73-E73</f>
        <v>0</v>
      </c>
      <c r="G73" s="529">
        <f>(D73+F73)/2*I$12+E73</f>
        <v>0</v>
      </c>
      <c r="H73" s="459">
        <f>+(D73+F73)/2*I$13+E73</f>
        <v>0</v>
      </c>
      <c r="I73" s="530">
        <f>H73-G73</f>
        <v>0</v>
      </c>
      <c r="J73" s="501"/>
      <c r="K73" s="531"/>
      <c r="L73" s="532">
        <f>IF(K73&lt;&gt;0,+G73-K73,0)</f>
        <v>0</v>
      </c>
      <c r="M73" s="531"/>
      <c r="N73" s="532">
        <f>IF(M73&lt;&gt;0,+H73-M73,0)</f>
        <v>0</v>
      </c>
      <c r="O73" s="532">
        <f>+N73-L73</f>
        <v>0</v>
      </c>
      <c r="P73" s="279"/>
    </row>
    <row r="74" spans="2:16" ht="12.5">
      <c r="C74" s="350" t="s">
        <v>75</v>
      </c>
      <c r="D74" s="295"/>
      <c r="E74" s="295">
        <f>SUM(E17:E73)</f>
        <v>15833738</v>
      </c>
      <c r="F74" s="295"/>
      <c r="G74" s="295">
        <f>SUM(G17:G73)</f>
        <v>53848782.832027435</v>
      </c>
      <c r="H74" s="295">
        <f>SUM(H17:H73)</f>
        <v>53848782.832027435</v>
      </c>
      <c r="I74" s="295">
        <f>SUM(I17:I73)</f>
        <v>0</v>
      </c>
      <c r="J74" s="295"/>
      <c r="K74" s="295"/>
      <c r="L74" s="295"/>
      <c r="M74" s="295"/>
      <c r="N74" s="295"/>
      <c r="O74" s="279"/>
      <c r="P74" s="279"/>
    </row>
    <row r="75" spans="2:16" ht="12.5">
      <c r="D75" s="293"/>
      <c r="E75" s="244"/>
      <c r="F75" s="244"/>
      <c r="G75" s="244"/>
      <c r="H75" s="326"/>
      <c r="I75" s="326"/>
      <c r="J75" s="295"/>
      <c r="K75" s="326"/>
      <c r="L75" s="326"/>
      <c r="M75" s="326"/>
      <c r="N75" s="326"/>
      <c r="O75" s="244"/>
      <c r="P75" s="244"/>
    </row>
    <row r="76" spans="2:16" ht="13">
      <c r="C76" s="533" t="s">
        <v>95</v>
      </c>
      <c r="D76" s="293"/>
      <c r="E76" s="244"/>
      <c r="F76" s="244"/>
      <c r="G76" s="244"/>
      <c r="H76" s="326"/>
      <c r="I76" s="326"/>
      <c r="J76" s="295"/>
      <c r="K76" s="326"/>
      <c r="L76" s="326"/>
      <c r="M76" s="326"/>
      <c r="N76" s="326"/>
      <c r="O76" s="244"/>
      <c r="P76" s="244"/>
    </row>
    <row r="77" spans="2:16" ht="13">
      <c r="C77" s="455" t="s">
        <v>76</v>
      </c>
      <c r="D77" s="293"/>
      <c r="E77" s="244"/>
      <c r="F77" s="244"/>
      <c r="G77" s="244"/>
      <c r="H77" s="326"/>
      <c r="I77" s="326"/>
      <c r="J77" s="295"/>
      <c r="K77" s="326"/>
      <c r="L77" s="326"/>
      <c r="M77" s="326"/>
      <c r="N77" s="326"/>
      <c r="O77" s="279"/>
      <c r="P77" s="279"/>
    </row>
    <row r="78" spans="2:16" ht="13">
      <c r="C78" s="455" t="s">
        <v>77</v>
      </c>
      <c r="D78" s="350"/>
      <c r="E78" s="350"/>
      <c r="F78" s="350"/>
      <c r="G78" s="295"/>
      <c r="H78" s="295"/>
      <c r="I78" s="351"/>
      <c r="J78" s="351"/>
      <c r="K78" s="351"/>
      <c r="L78" s="351"/>
      <c r="M78" s="351"/>
      <c r="N78" s="351"/>
      <c r="O78" s="279"/>
      <c r="P78" s="279"/>
    </row>
    <row r="79" spans="2:16" ht="13">
      <c r="C79" s="455"/>
      <c r="D79" s="350"/>
      <c r="E79" s="350"/>
      <c r="F79" s="350"/>
      <c r="G79" s="295"/>
      <c r="H79" s="295"/>
      <c r="I79" s="351"/>
      <c r="J79" s="351"/>
      <c r="K79" s="351"/>
      <c r="L79" s="351"/>
      <c r="M79" s="351"/>
      <c r="N79" s="351"/>
      <c r="O79" s="279"/>
      <c r="P79" s="244"/>
    </row>
    <row r="80" spans="2:16" ht="12.5">
      <c r="B80" s="244"/>
      <c r="C80" s="249"/>
      <c r="D80" s="293"/>
      <c r="E80" s="244"/>
      <c r="F80" s="348"/>
      <c r="G80" s="244"/>
      <c r="H80" s="326"/>
      <c r="I80" s="244"/>
      <c r="J80" s="279"/>
      <c r="K80" s="244"/>
      <c r="L80" s="244"/>
      <c r="M80" s="244"/>
      <c r="N80" s="244"/>
      <c r="O80" s="244"/>
      <c r="P80" s="244"/>
    </row>
    <row r="81" spans="1:16" ht="17.5">
      <c r="B81" s="244"/>
      <c r="C81" s="536"/>
      <c r="D81" s="293"/>
      <c r="E81" s="244"/>
      <c r="F81" s="348"/>
      <c r="G81" s="244"/>
      <c r="H81" s="326"/>
      <c r="I81" s="244"/>
      <c r="J81" s="279"/>
      <c r="K81" s="244"/>
      <c r="L81" s="244"/>
      <c r="M81" s="244"/>
      <c r="N81" s="244"/>
      <c r="P81" s="537" t="s">
        <v>128</v>
      </c>
    </row>
    <row r="82" spans="1:16" ht="12.5">
      <c r="B82" s="244"/>
      <c r="C82" s="249"/>
      <c r="D82" s="293"/>
      <c r="E82" s="244"/>
      <c r="F82" s="348"/>
      <c r="G82" s="244"/>
      <c r="H82" s="326"/>
      <c r="I82" s="244"/>
      <c r="J82" s="279"/>
      <c r="K82" s="244"/>
      <c r="L82" s="244"/>
      <c r="M82" s="244"/>
      <c r="N82" s="244"/>
      <c r="O82" s="244"/>
      <c r="P82" s="244"/>
    </row>
    <row r="83" spans="1:16" ht="12.5">
      <c r="B83" s="244"/>
      <c r="C83" s="249"/>
      <c r="D83" s="293"/>
      <c r="E83" s="244"/>
      <c r="F83" s="348"/>
      <c r="G83" s="244"/>
      <c r="H83" s="326"/>
      <c r="I83" s="244"/>
      <c r="J83" s="279"/>
      <c r="K83" s="244"/>
      <c r="L83" s="244"/>
      <c r="M83" s="244"/>
      <c r="N83" s="244"/>
      <c r="O83" s="244"/>
      <c r="P83" s="244"/>
    </row>
    <row r="84" spans="1:16" ht="20">
      <c r="A84" s="438" t="s">
        <v>190</v>
      </c>
      <c r="B84" s="244"/>
      <c r="C84" s="249"/>
      <c r="D84" s="293"/>
      <c r="E84" s="244"/>
      <c r="F84" s="340"/>
      <c r="G84" s="340"/>
      <c r="H84" s="244"/>
      <c r="I84" s="326"/>
      <c r="K84" s="221"/>
      <c r="L84" s="439"/>
      <c r="M84" s="439"/>
      <c r="P84" s="439" t="str">
        <f ca="1">P1</f>
        <v>OKT Project 19 of 19</v>
      </c>
    </row>
    <row r="85" spans="1:16" ht="17.5">
      <c r="B85" s="244"/>
      <c r="C85" s="244"/>
      <c r="D85" s="293"/>
      <c r="E85" s="244"/>
      <c r="F85" s="244"/>
      <c r="G85" s="244"/>
      <c r="H85" s="244"/>
      <c r="I85" s="326"/>
      <c r="J85" s="244"/>
      <c r="K85" s="279"/>
      <c r="L85" s="244"/>
      <c r="M85" s="244"/>
      <c r="P85" s="442" t="s">
        <v>132</v>
      </c>
    </row>
    <row r="86" spans="1:16" ht="17.5" thickBot="1">
      <c r="B86" s="234" t="s">
        <v>42</v>
      </c>
      <c r="C86" s="538" t="s">
        <v>81</v>
      </c>
      <c r="D86" s="293"/>
      <c r="E86" s="244"/>
      <c r="F86" s="244"/>
      <c r="G86" s="244"/>
      <c r="H86" s="244"/>
      <c r="I86" s="326"/>
      <c r="J86" s="326"/>
      <c r="K86" s="295"/>
      <c r="L86" s="326"/>
      <c r="M86" s="326"/>
      <c r="N86" s="326"/>
      <c r="O86" s="295"/>
      <c r="P86" s="244"/>
    </row>
    <row r="87" spans="1:16" ht="16" thickBot="1">
      <c r="C87" s="305"/>
      <c r="D87" s="293"/>
      <c r="E87" s="244"/>
      <c r="F87" s="244"/>
      <c r="G87" s="244"/>
      <c r="H87" s="244"/>
      <c r="I87" s="326"/>
      <c r="J87" s="326"/>
      <c r="K87" s="295"/>
      <c r="L87" s="539">
        <f>+J93</f>
        <v>2019</v>
      </c>
      <c r="M87" s="540" t="s">
        <v>9</v>
      </c>
      <c r="N87" s="541" t="s">
        <v>134</v>
      </c>
      <c r="O87" s="542" t="s">
        <v>11</v>
      </c>
      <c r="P87" s="244"/>
    </row>
    <row r="88" spans="1:16" ht="15.5">
      <c r="C88" s="233" t="s">
        <v>44</v>
      </c>
      <c r="D88" s="293"/>
      <c r="E88" s="244"/>
      <c r="F88" s="244"/>
      <c r="G88" s="244"/>
      <c r="H88" s="445"/>
      <c r="I88" s="244" t="s">
        <v>45</v>
      </c>
      <c r="J88" s="244"/>
      <c r="K88" s="543"/>
      <c r="L88" s="544" t="s">
        <v>253</v>
      </c>
      <c r="M88" s="545">
        <f>IF(J93&lt;D11,0,VLOOKUP(J93,C17:O73,9))</f>
        <v>930333.23821495997</v>
      </c>
      <c r="N88" s="545">
        <f>IF(J93&lt;D11,0,VLOOKUP(J93,C17:O73,11))</f>
        <v>930333.23821495997</v>
      </c>
      <c r="O88" s="546">
        <f>+N88-M88</f>
        <v>0</v>
      </c>
      <c r="P88" s="244"/>
    </row>
    <row r="89" spans="1:16" ht="15.5">
      <c r="C89" s="236"/>
      <c r="D89" s="293"/>
      <c r="E89" s="244"/>
      <c r="F89" s="244"/>
      <c r="G89" s="244"/>
      <c r="H89" s="244"/>
      <c r="I89" s="450"/>
      <c r="J89" s="450"/>
      <c r="K89" s="547"/>
      <c r="L89" s="548" t="s">
        <v>254</v>
      </c>
      <c r="M89" s="549">
        <f>IF(J93&lt;D11,0,VLOOKUP(J93,C100:P155,6))</f>
        <v>1170228.5245690367</v>
      </c>
      <c r="N89" s="549">
        <f>IF(J93&lt;D11,0,VLOOKUP(J93,C100:P155,7))</f>
        <v>1170228.5245690367</v>
      </c>
      <c r="O89" s="550">
        <f>+N89-M89</f>
        <v>0</v>
      </c>
      <c r="P89" s="244"/>
    </row>
    <row r="90" spans="1:16" ht="13.5" thickBot="1">
      <c r="C90" s="455" t="s">
        <v>82</v>
      </c>
      <c r="D90" s="551" t="str">
        <f>+D7</f>
        <v>Fort Towson-Valliant 69 KV Line Rebuild</v>
      </c>
      <c r="E90" s="244"/>
      <c r="F90" s="244"/>
      <c r="G90" s="244"/>
      <c r="H90" s="244"/>
      <c r="I90" s="326"/>
      <c r="J90" s="326"/>
      <c r="K90" s="552"/>
      <c r="L90" s="553" t="s">
        <v>135</v>
      </c>
      <c r="M90" s="554">
        <f>+M89-M88</f>
        <v>239895.2863540767</v>
      </c>
      <c r="N90" s="554">
        <f>+N89-N88</f>
        <v>239895.2863540767</v>
      </c>
      <c r="O90" s="555">
        <f>+O89-O88</f>
        <v>0</v>
      </c>
      <c r="P90" s="244"/>
    </row>
    <row r="91" spans="1:16" ht="13.5" thickBot="1">
      <c r="C91" s="533"/>
      <c r="D91" s="556" t="str">
        <f>IF(D8="","",D8)</f>
        <v/>
      </c>
      <c r="E91" s="348"/>
      <c r="F91" s="348"/>
      <c r="G91" s="348"/>
      <c r="H91" s="462"/>
      <c r="I91" s="326"/>
      <c r="J91" s="326"/>
      <c r="K91" s="295"/>
      <c r="L91" s="326"/>
      <c r="M91" s="326"/>
      <c r="N91" s="326"/>
      <c r="O91" s="295"/>
      <c r="P91" s="244"/>
    </row>
    <row r="92" spans="1:16" ht="13.5" thickBot="1">
      <c r="A92" s="152"/>
      <c r="C92" s="557" t="s">
        <v>83</v>
      </c>
      <c r="D92" s="558" t="str">
        <f>+D9</f>
        <v>TP2015204</v>
      </c>
      <c r="E92" s="559"/>
      <c r="F92" s="559"/>
      <c r="G92" s="559"/>
      <c r="H92" s="559"/>
      <c r="I92" s="559"/>
      <c r="J92" s="559"/>
      <c r="K92" s="561"/>
      <c r="P92" s="469"/>
    </row>
    <row r="93" spans="1:16" ht="13">
      <c r="C93" s="473" t="s">
        <v>49</v>
      </c>
      <c r="D93" s="475">
        <v>17124157</v>
      </c>
      <c r="E93" s="249" t="s">
        <v>84</v>
      </c>
      <c r="H93" s="409"/>
      <c r="I93" s="409"/>
      <c r="J93" s="472">
        <f>+'OKT.WS.G.BPU.ATRR.True-up'!M16</f>
        <v>2019</v>
      </c>
      <c r="K93" s="468"/>
      <c r="L93" s="295" t="s">
        <v>85</v>
      </c>
      <c r="P93" s="279"/>
    </row>
    <row r="94" spans="1:16" ht="12.5">
      <c r="C94" s="473" t="s">
        <v>52</v>
      </c>
      <c r="D94" s="562">
        <f>IF(D11="","",D11)</f>
        <v>2019</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row>
    <row r="95" spans="1:16" ht="12.5">
      <c r="C95" s="473" t="s">
        <v>54</v>
      </c>
      <c r="D95" s="562">
        <f>IF(D12="","",D12)</f>
        <v>6</v>
      </c>
      <c r="E95" s="473" t="s">
        <v>55</v>
      </c>
      <c r="F95" s="409"/>
      <c r="G95" s="409"/>
      <c r="J95" s="477">
        <f>'OKT.WS.G.BPU.ATRR.True-up'!$F$81</f>
        <v>0.10800922592579221</v>
      </c>
      <c r="K95" s="414"/>
      <c r="L95" s="145" t="s">
        <v>86</v>
      </c>
      <c r="P95" s="279"/>
    </row>
    <row r="96" spans="1:16" ht="12.5">
      <c r="C96" s="473" t="s">
        <v>57</v>
      </c>
      <c r="D96" s="475">
        <f>'OKT.WS.G.BPU.ATRR.True-up'!F$93</f>
        <v>33</v>
      </c>
      <c r="E96" s="473" t="s">
        <v>58</v>
      </c>
      <c r="F96" s="409"/>
      <c r="G96" s="409"/>
      <c r="J96" s="477">
        <f>IF(H88="",J95,'OKT.WS.G.BPU.ATRR.True-up'!$F$80)</f>
        <v>0.10800922592579221</v>
      </c>
      <c r="K96" s="292"/>
      <c r="L96" s="295" t="s">
        <v>59</v>
      </c>
      <c r="M96" s="292"/>
      <c r="N96" s="292"/>
      <c r="O96" s="292"/>
      <c r="P96" s="279"/>
    </row>
    <row r="97" spans="1:16" ht="13" thickBot="1">
      <c r="C97" s="473" t="s">
        <v>60</v>
      </c>
      <c r="D97" s="563" t="str">
        <f>+D14</f>
        <v>No</v>
      </c>
      <c r="E97" s="564" t="s">
        <v>62</v>
      </c>
      <c r="F97" s="565"/>
      <c r="G97" s="565"/>
      <c r="H97" s="566"/>
      <c r="I97" s="566"/>
      <c r="J97" s="459">
        <f>IF(D93=0,0,D93/D96)</f>
        <v>518913.84848484851</v>
      </c>
      <c r="K97" s="295"/>
      <c r="L97" s="295"/>
      <c r="M97" s="295"/>
      <c r="N97" s="295"/>
      <c r="O97" s="295"/>
      <c r="P97" s="279"/>
    </row>
    <row r="98" spans="1:16"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row>
    <row r="99" spans="1:16" ht="13.5" thickBot="1">
      <c r="C99" s="487" t="s">
        <v>68</v>
      </c>
      <c r="D99" s="570" t="s">
        <v>69</v>
      </c>
      <c r="E99" s="487" t="s">
        <v>70</v>
      </c>
      <c r="F99" s="487" t="s">
        <v>69</v>
      </c>
      <c r="G99" s="487" t="s">
        <v>69</v>
      </c>
      <c r="H99" s="494" t="s">
        <v>71</v>
      </c>
      <c r="I99" s="490" t="s">
        <v>72</v>
      </c>
      <c r="J99" s="491" t="s">
        <v>93</v>
      </c>
      <c r="K99" s="492"/>
      <c r="L99" s="493" t="s">
        <v>74</v>
      </c>
      <c r="M99" s="493" t="s">
        <v>74</v>
      </c>
      <c r="N99" s="493" t="s">
        <v>94</v>
      </c>
      <c r="O99" s="493" t="s">
        <v>94</v>
      </c>
      <c r="P99" s="493" t="s">
        <v>94</v>
      </c>
    </row>
    <row r="100" spans="1:16" ht="12.5">
      <c r="B100" s="145" t="str">
        <f t="shared" ref="B100:B155" si="9">IF(D100=F99,"","IU")</f>
        <v>IU</v>
      </c>
      <c r="C100" s="496">
        <f>IF(D94= "","-",D94)</f>
        <v>2019</v>
      </c>
      <c r="D100" s="497">
        <f>IF(D94=C100,0,IF(D93&lt;100000,0,D93))</f>
        <v>0</v>
      </c>
      <c r="E100" s="499">
        <f>IF(D93&lt;100000,0,J$97/12*(12-D95))</f>
        <v>259456.92424242425</v>
      </c>
      <c r="F100" s="506">
        <f>IF(D94=C100,+D93-E100,+D100-E100)</f>
        <v>16864700.075757574</v>
      </c>
      <c r="G100" s="506">
        <f>+(F100+D100)/2</f>
        <v>8432350.0378787871</v>
      </c>
      <c r="H100" s="499">
        <f t="shared" ref="H100:H155" si="10">+J$95*G100+E100</f>
        <v>1170228.5245690367</v>
      </c>
      <c r="I100" s="500">
        <f>+J$96*G100+E100</f>
        <v>1170228.5245690367</v>
      </c>
      <c r="J100" s="505">
        <f t="shared" ref="J100:J131" si="11">+I100-H100</f>
        <v>0</v>
      </c>
      <c r="K100" s="505"/>
      <c r="L100" s="507">
        <f>+H100</f>
        <v>1170228.5245690367</v>
      </c>
      <c r="M100" s="505">
        <f t="shared" ref="M100" si="12">IF(L100&lt;&gt;0,+H100-L100,0)</f>
        <v>0</v>
      </c>
      <c r="N100" s="507">
        <f>+I100</f>
        <v>1170228.5245690367</v>
      </c>
      <c r="O100" s="587">
        <f t="shared" ref="O100" si="13">IF(N100&lt;&gt;0,+I100-N100,0)</f>
        <v>0</v>
      </c>
      <c r="P100" s="505">
        <f t="shared" ref="P100" si="14">+O100-M100</f>
        <v>0</v>
      </c>
    </row>
    <row r="101" spans="1:16" ht="12.5">
      <c r="B101" s="145" t="str">
        <f t="shared" si="9"/>
        <v/>
      </c>
      <c r="C101" s="496">
        <f>IF(D94="","-",+C100+1)</f>
        <v>2020</v>
      </c>
      <c r="D101" s="350">
        <f>IF(F100+SUM(E$100:E100)=D$93,F100,D$93-SUM(E$100:E100))</f>
        <v>16864700.075757574</v>
      </c>
      <c r="E101" s="510">
        <f t="shared" ref="E101:E155" si="15">IF(+J$97&lt;F100,J$97,D101)</f>
        <v>518913.84848484851</v>
      </c>
      <c r="F101" s="511">
        <f t="shared" ref="F101:F155" si="16">+D101-E101</f>
        <v>16345786.227272727</v>
      </c>
      <c r="G101" s="511">
        <f t="shared" ref="G101:G155" si="17">+(F101+D101)/2</f>
        <v>16605243.15151515</v>
      </c>
      <c r="H101" s="628">
        <f t="shared" si="10"/>
        <v>2312433.3075895621</v>
      </c>
      <c r="I101" s="629">
        <f t="shared" ref="I101:I155" si="18">+J$96*G101+E101</f>
        <v>2312433.3075895621</v>
      </c>
      <c r="J101" s="505">
        <f t="shared" si="11"/>
        <v>0</v>
      </c>
      <c r="K101" s="505"/>
      <c r="L101" s="513"/>
      <c r="M101" s="505">
        <f t="shared" ref="M101:M131" si="19">IF(L101&lt;&gt;0,+H101-L101,0)</f>
        <v>0</v>
      </c>
      <c r="N101" s="513"/>
      <c r="O101" s="505">
        <f t="shared" ref="O101:O131" si="20">IF(N101&lt;&gt;0,+I101-N101,0)</f>
        <v>0</v>
      </c>
      <c r="P101" s="505">
        <f t="shared" ref="P101:P131" si="21">+O101-M101</f>
        <v>0</v>
      </c>
    </row>
    <row r="102" spans="1:16" ht="12.5">
      <c r="B102" s="145" t="str">
        <f t="shared" si="9"/>
        <v/>
      </c>
      <c r="C102" s="496">
        <f>IF(D94="","-",+C101+1)</f>
        <v>2021</v>
      </c>
      <c r="D102" s="350">
        <f>IF(F101+SUM(E$100:E101)=D$93,F101,D$93-SUM(E$100:E101))</f>
        <v>16345786.227272727</v>
      </c>
      <c r="E102" s="510">
        <f t="shared" si="15"/>
        <v>518913.84848484851</v>
      </c>
      <c r="F102" s="511">
        <f t="shared" si="16"/>
        <v>15826872.378787879</v>
      </c>
      <c r="G102" s="511">
        <f t="shared" si="17"/>
        <v>16086329.303030303</v>
      </c>
      <c r="H102" s="628">
        <f t="shared" si="10"/>
        <v>2256385.8244925397</v>
      </c>
      <c r="I102" s="629">
        <f t="shared" si="18"/>
        <v>2256385.8244925397</v>
      </c>
      <c r="J102" s="505">
        <f t="shared" si="11"/>
        <v>0</v>
      </c>
      <c r="K102" s="505"/>
      <c r="L102" s="513"/>
      <c r="M102" s="505">
        <f t="shared" si="19"/>
        <v>0</v>
      </c>
      <c r="N102" s="513"/>
      <c r="O102" s="505">
        <f t="shared" si="20"/>
        <v>0</v>
      </c>
      <c r="P102" s="505">
        <f t="shared" si="21"/>
        <v>0</v>
      </c>
    </row>
    <row r="103" spans="1:16" ht="12.5">
      <c r="B103" s="145" t="str">
        <f t="shared" si="9"/>
        <v/>
      </c>
      <c r="C103" s="496">
        <f>IF(D94="","-",+C102+1)</f>
        <v>2022</v>
      </c>
      <c r="D103" s="350">
        <f>IF(F102+SUM(E$100:E102)=D$93,F102,D$93-SUM(E$100:E102))</f>
        <v>15826872.378787879</v>
      </c>
      <c r="E103" s="510">
        <f t="shared" si="15"/>
        <v>518913.84848484851</v>
      </c>
      <c r="F103" s="511">
        <f t="shared" si="16"/>
        <v>15307958.530303031</v>
      </c>
      <c r="G103" s="511">
        <f t="shared" si="17"/>
        <v>15567415.454545455</v>
      </c>
      <c r="H103" s="628">
        <f t="shared" si="10"/>
        <v>2200338.3413955178</v>
      </c>
      <c r="I103" s="629">
        <f t="shared" si="18"/>
        <v>2200338.3413955178</v>
      </c>
      <c r="J103" s="505">
        <f t="shared" si="11"/>
        <v>0</v>
      </c>
      <c r="K103" s="505"/>
      <c r="L103" s="513"/>
      <c r="M103" s="505">
        <f t="shared" si="19"/>
        <v>0</v>
      </c>
      <c r="N103" s="513"/>
      <c r="O103" s="505">
        <f t="shared" si="20"/>
        <v>0</v>
      </c>
      <c r="P103" s="505">
        <f t="shared" si="21"/>
        <v>0</v>
      </c>
    </row>
    <row r="104" spans="1:16" ht="12.5">
      <c r="B104" s="145" t="str">
        <f t="shared" si="9"/>
        <v/>
      </c>
      <c r="C104" s="496">
        <f>IF(D94="","-",+C103+1)</f>
        <v>2023</v>
      </c>
      <c r="D104" s="350">
        <f>IF(F103+SUM(E$100:E103)=D$93,F103,D$93-SUM(E$100:E103))</f>
        <v>15307958.530303031</v>
      </c>
      <c r="E104" s="510">
        <f t="shared" si="15"/>
        <v>518913.84848484851</v>
      </c>
      <c r="F104" s="511">
        <f t="shared" si="16"/>
        <v>14789044.681818184</v>
      </c>
      <c r="G104" s="511">
        <f t="shared" si="17"/>
        <v>15048501.606060607</v>
      </c>
      <c r="H104" s="628">
        <f t="shared" si="10"/>
        <v>2144290.8582984954</v>
      </c>
      <c r="I104" s="629">
        <f t="shared" si="18"/>
        <v>2144290.8582984954</v>
      </c>
      <c r="J104" s="505">
        <f t="shared" si="11"/>
        <v>0</v>
      </c>
      <c r="K104" s="505"/>
      <c r="L104" s="513"/>
      <c r="M104" s="505">
        <f t="shared" si="19"/>
        <v>0</v>
      </c>
      <c r="N104" s="513"/>
      <c r="O104" s="505">
        <f t="shared" si="20"/>
        <v>0</v>
      </c>
      <c r="P104" s="505">
        <f t="shared" si="21"/>
        <v>0</v>
      </c>
    </row>
    <row r="105" spans="1:16" ht="12.5">
      <c r="B105" s="145" t="str">
        <f t="shared" si="9"/>
        <v/>
      </c>
      <c r="C105" s="496">
        <f>IF(D94="","-",+C104+1)</f>
        <v>2024</v>
      </c>
      <c r="D105" s="350">
        <f>IF(F104+SUM(E$100:E104)=D$93,F104,D$93-SUM(E$100:E104))</f>
        <v>14789044.681818184</v>
      </c>
      <c r="E105" s="510">
        <f t="shared" si="15"/>
        <v>518913.84848484851</v>
      </c>
      <c r="F105" s="511">
        <f t="shared" si="16"/>
        <v>14270130.833333336</v>
      </c>
      <c r="G105" s="511">
        <f t="shared" si="17"/>
        <v>14529587.75757576</v>
      </c>
      <c r="H105" s="628">
        <f t="shared" si="10"/>
        <v>2088243.3752014735</v>
      </c>
      <c r="I105" s="629">
        <f t="shared" si="18"/>
        <v>2088243.3752014735</v>
      </c>
      <c r="J105" s="505">
        <f t="shared" si="11"/>
        <v>0</v>
      </c>
      <c r="K105" s="505"/>
      <c r="L105" s="513"/>
      <c r="M105" s="505">
        <f t="shared" si="19"/>
        <v>0</v>
      </c>
      <c r="N105" s="513"/>
      <c r="O105" s="505">
        <f t="shared" si="20"/>
        <v>0</v>
      </c>
      <c r="P105" s="505">
        <f t="shared" si="21"/>
        <v>0</v>
      </c>
    </row>
    <row r="106" spans="1:16" ht="12.5">
      <c r="B106" s="145" t="str">
        <f t="shared" si="9"/>
        <v/>
      </c>
      <c r="C106" s="496">
        <f>IF(D94="","-",+C105+1)</f>
        <v>2025</v>
      </c>
      <c r="D106" s="350">
        <f>IF(F105+SUM(E$100:E105)=D$93,F105,D$93-SUM(E$100:E105))</f>
        <v>14270130.833333336</v>
      </c>
      <c r="E106" s="510">
        <f t="shared" si="15"/>
        <v>518913.84848484851</v>
      </c>
      <c r="F106" s="511">
        <f t="shared" si="16"/>
        <v>13751216.984848488</v>
      </c>
      <c r="G106" s="511">
        <f t="shared" si="17"/>
        <v>14010673.909090912</v>
      </c>
      <c r="H106" s="628">
        <f t="shared" si="10"/>
        <v>2032195.8921044511</v>
      </c>
      <c r="I106" s="629">
        <f t="shared" si="18"/>
        <v>2032195.8921044511</v>
      </c>
      <c r="J106" s="505">
        <f t="shared" si="11"/>
        <v>0</v>
      </c>
      <c r="K106" s="505"/>
      <c r="L106" s="513"/>
      <c r="M106" s="505">
        <f t="shared" si="19"/>
        <v>0</v>
      </c>
      <c r="N106" s="513"/>
      <c r="O106" s="505">
        <f t="shared" si="20"/>
        <v>0</v>
      </c>
      <c r="P106" s="505">
        <f t="shared" si="21"/>
        <v>0</v>
      </c>
    </row>
    <row r="107" spans="1:16" ht="12.5">
      <c r="B107" s="145" t="str">
        <f t="shared" si="9"/>
        <v/>
      </c>
      <c r="C107" s="496">
        <f>IF(D94="","-",+C106+1)</f>
        <v>2026</v>
      </c>
      <c r="D107" s="350">
        <f>IF(F106+SUM(E$100:E106)=D$93,F106,D$93-SUM(E$100:E106))</f>
        <v>13751216.984848488</v>
      </c>
      <c r="E107" s="510">
        <f t="shared" si="15"/>
        <v>518913.84848484851</v>
      </c>
      <c r="F107" s="511">
        <f t="shared" si="16"/>
        <v>13232303.13636364</v>
      </c>
      <c r="G107" s="511">
        <f t="shared" si="17"/>
        <v>13491760.060606064</v>
      </c>
      <c r="H107" s="628">
        <f t="shared" si="10"/>
        <v>1976148.4090074287</v>
      </c>
      <c r="I107" s="629">
        <f t="shared" si="18"/>
        <v>1976148.4090074287</v>
      </c>
      <c r="J107" s="505">
        <f t="shared" si="11"/>
        <v>0</v>
      </c>
      <c r="K107" s="505"/>
      <c r="L107" s="513"/>
      <c r="M107" s="505">
        <f t="shared" si="19"/>
        <v>0</v>
      </c>
      <c r="N107" s="513"/>
      <c r="O107" s="505">
        <f t="shared" si="20"/>
        <v>0</v>
      </c>
      <c r="P107" s="505">
        <f t="shared" si="21"/>
        <v>0</v>
      </c>
    </row>
    <row r="108" spans="1:16" ht="12.5">
      <c r="B108" s="145" t="str">
        <f t="shared" si="9"/>
        <v/>
      </c>
      <c r="C108" s="496">
        <f>IF(D94="","-",+C107+1)</f>
        <v>2027</v>
      </c>
      <c r="D108" s="350">
        <f>IF(F107+SUM(E$100:E107)=D$93,F107,D$93-SUM(E$100:E107))</f>
        <v>13232303.13636364</v>
      </c>
      <c r="E108" s="510">
        <f t="shared" si="15"/>
        <v>518913.84848484851</v>
      </c>
      <c r="F108" s="511">
        <f t="shared" si="16"/>
        <v>12713389.287878793</v>
      </c>
      <c r="G108" s="511">
        <f t="shared" si="17"/>
        <v>12972846.212121217</v>
      </c>
      <c r="H108" s="628">
        <f t="shared" si="10"/>
        <v>1920100.9259104067</v>
      </c>
      <c r="I108" s="629">
        <f t="shared" si="18"/>
        <v>1920100.9259104067</v>
      </c>
      <c r="J108" s="505">
        <f t="shared" si="11"/>
        <v>0</v>
      </c>
      <c r="K108" s="505"/>
      <c r="L108" s="513"/>
      <c r="M108" s="505">
        <f t="shared" si="19"/>
        <v>0</v>
      </c>
      <c r="N108" s="513"/>
      <c r="O108" s="505">
        <f t="shared" si="20"/>
        <v>0</v>
      </c>
      <c r="P108" s="505">
        <f t="shared" si="21"/>
        <v>0</v>
      </c>
    </row>
    <row r="109" spans="1:16" ht="12.5">
      <c r="B109" s="145" t="str">
        <f t="shared" si="9"/>
        <v/>
      </c>
      <c r="C109" s="496">
        <f>IF(D94="","-",+C108+1)</f>
        <v>2028</v>
      </c>
      <c r="D109" s="350">
        <f>IF(F108+SUM(E$100:E108)=D$93,F108,D$93-SUM(E$100:E108))</f>
        <v>12713389.287878793</v>
      </c>
      <c r="E109" s="510">
        <f t="shared" si="15"/>
        <v>518913.84848484851</v>
      </c>
      <c r="F109" s="511">
        <f t="shared" si="16"/>
        <v>12194475.439393945</v>
      </c>
      <c r="G109" s="511">
        <f t="shared" si="17"/>
        <v>12453932.363636369</v>
      </c>
      <c r="H109" s="628">
        <f t="shared" si="10"/>
        <v>1864053.4428133843</v>
      </c>
      <c r="I109" s="629">
        <f t="shared" si="18"/>
        <v>1864053.4428133843</v>
      </c>
      <c r="J109" s="505">
        <f t="shared" si="11"/>
        <v>0</v>
      </c>
      <c r="K109" s="505"/>
      <c r="L109" s="513"/>
      <c r="M109" s="505">
        <f t="shared" si="19"/>
        <v>0</v>
      </c>
      <c r="N109" s="513"/>
      <c r="O109" s="505">
        <f t="shared" si="20"/>
        <v>0</v>
      </c>
      <c r="P109" s="505">
        <f t="shared" si="21"/>
        <v>0</v>
      </c>
    </row>
    <row r="110" spans="1:16" ht="12.5">
      <c r="B110" s="145" t="str">
        <f t="shared" si="9"/>
        <v/>
      </c>
      <c r="C110" s="496">
        <f>IF(D94="","-",+C109+1)</f>
        <v>2029</v>
      </c>
      <c r="D110" s="350">
        <f>IF(F109+SUM(E$100:E109)=D$93,F109,D$93-SUM(E$100:E109))</f>
        <v>12194475.439393945</v>
      </c>
      <c r="E110" s="510">
        <f t="shared" si="15"/>
        <v>518913.84848484851</v>
      </c>
      <c r="F110" s="511">
        <f t="shared" si="16"/>
        <v>11675561.590909097</v>
      </c>
      <c r="G110" s="511">
        <f t="shared" si="17"/>
        <v>11935018.515151521</v>
      </c>
      <c r="H110" s="628">
        <f t="shared" si="10"/>
        <v>1808005.9597163624</v>
      </c>
      <c r="I110" s="629">
        <f t="shared" si="18"/>
        <v>1808005.9597163624</v>
      </c>
      <c r="J110" s="505">
        <f t="shared" si="11"/>
        <v>0</v>
      </c>
      <c r="K110" s="505"/>
      <c r="L110" s="513"/>
      <c r="M110" s="505">
        <f t="shared" si="19"/>
        <v>0</v>
      </c>
      <c r="N110" s="513"/>
      <c r="O110" s="505">
        <f t="shared" si="20"/>
        <v>0</v>
      </c>
      <c r="P110" s="505">
        <f t="shared" si="21"/>
        <v>0</v>
      </c>
    </row>
    <row r="111" spans="1:16" ht="12.5">
      <c r="B111" s="145" t="str">
        <f t="shared" si="9"/>
        <v/>
      </c>
      <c r="C111" s="496">
        <f>IF(D94="","-",+C110+1)</f>
        <v>2030</v>
      </c>
      <c r="D111" s="350">
        <f>IF(F110+SUM(E$100:E110)=D$93,F110,D$93-SUM(E$100:E110))</f>
        <v>11675561.590909097</v>
      </c>
      <c r="E111" s="510">
        <f t="shared" si="15"/>
        <v>518913.84848484851</v>
      </c>
      <c r="F111" s="511">
        <f t="shared" si="16"/>
        <v>11156647.74242425</v>
      </c>
      <c r="G111" s="511">
        <f t="shared" si="17"/>
        <v>11416104.666666673</v>
      </c>
      <c r="H111" s="628">
        <f t="shared" si="10"/>
        <v>1751958.47661934</v>
      </c>
      <c r="I111" s="629">
        <f t="shared" si="18"/>
        <v>1751958.47661934</v>
      </c>
      <c r="J111" s="505">
        <f t="shared" si="11"/>
        <v>0</v>
      </c>
      <c r="K111" s="505"/>
      <c r="L111" s="513"/>
      <c r="M111" s="505">
        <f t="shared" si="19"/>
        <v>0</v>
      </c>
      <c r="N111" s="513"/>
      <c r="O111" s="505">
        <f t="shared" si="20"/>
        <v>0</v>
      </c>
      <c r="P111" s="505">
        <f t="shared" si="21"/>
        <v>0</v>
      </c>
    </row>
    <row r="112" spans="1:16" ht="12.5">
      <c r="B112" s="145" t="str">
        <f t="shared" si="9"/>
        <v/>
      </c>
      <c r="C112" s="496">
        <f>IF(D94="","-",+C111+1)</f>
        <v>2031</v>
      </c>
      <c r="D112" s="350">
        <f>IF(F111+SUM(E$100:E111)=D$93,F111,D$93-SUM(E$100:E111))</f>
        <v>11156647.74242425</v>
      </c>
      <c r="E112" s="510">
        <f t="shared" si="15"/>
        <v>518913.84848484851</v>
      </c>
      <c r="F112" s="511">
        <f t="shared" si="16"/>
        <v>10637733.893939402</v>
      </c>
      <c r="G112" s="511">
        <f t="shared" si="17"/>
        <v>10897190.818181826</v>
      </c>
      <c r="H112" s="628">
        <f t="shared" si="10"/>
        <v>1695910.9935223176</v>
      </c>
      <c r="I112" s="629">
        <f t="shared" si="18"/>
        <v>1695910.9935223176</v>
      </c>
      <c r="J112" s="505">
        <f t="shared" si="11"/>
        <v>0</v>
      </c>
      <c r="K112" s="505"/>
      <c r="L112" s="513"/>
      <c r="M112" s="505">
        <f t="shared" si="19"/>
        <v>0</v>
      </c>
      <c r="N112" s="513"/>
      <c r="O112" s="505">
        <f t="shared" si="20"/>
        <v>0</v>
      </c>
      <c r="P112" s="505">
        <f t="shared" si="21"/>
        <v>0</v>
      </c>
    </row>
    <row r="113" spans="2:16" ht="12.5">
      <c r="B113" s="145" t="str">
        <f t="shared" si="9"/>
        <v/>
      </c>
      <c r="C113" s="496">
        <f>IF(D94="","-",+C112+1)</f>
        <v>2032</v>
      </c>
      <c r="D113" s="350">
        <f>IF(F112+SUM(E$100:E112)=D$93,F112,D$93-SUM(E$100:E112))</f>
        <v>10637733.893939402</v>
      </c>
      <c r="E113" s="510">
        <f t="shared" si="15"/>
        <v>518913.84848484851</v>
      </c>
      <c r="F113" s="511">
        <f t="shared" si="16"/>
        <v>10118820.045454554</v>
      </c>
      <c r="G113" s="511">
        <f t="shared" si="17"/>
        <v>10378276.969696978</v>
      </c>
      <c r="H113" s="628">
        <f t="shared" si="10"/>
        <v>1639863.5104252957</v>
      </c>
      <c r="I113" s="629">
        <f t="shared" si="18"/>
        <v>1639863.5104252957</v>
      </c>
      <c r="J113" s="505">
        <f t="shared" si="11"/>
        <v>0</v>
      </c>
      <c r="K113" s="505"/>
      <c r="L113" s="513"/>
      <c r="M113" s="505">
        <f t="shared" si="19"/>
        <v>0</v>
      </c>
      <c r="N113" s="513"/>
      <c r="O113" s="505">
        <f t="shared" si="20"/>
        <v>0</v>
      </c>
      <c r="P113" s="505">
        <f t="shared" si="21"/>
        <v>0</v>
      </c>
    </row>
    <row r="114" spans="2:16" ht="12.5">
      <c r="B114" s="145" t="str">
        <f t="shared" si="9"/>
        <v/>
      </c>
      <c r="C114" s="496">
        <f>IF(D94="","-",+C113+1)</f>
        <v>2033</v>
      </c>
      <c r="D114" s="350">
        <f>IF(F113+SUM(E$100:E113)=D$93,F113,D$93-SUM(E$100:E113))</f>
        <v>10118820.045454554</v>
      </c>
      <c r="E114" s="510">
        <f t="shared" si="15"/>
        <v>518913.84848484851</v>
      </c>
      <c r="F114" s="511">
        <f t="shared" si="16"/>
        <v>9599906.1969697066</v>
      </c>
      <c r="G114" s="511">
        <f t="shared" si="17"/>
        <v>9859363.1212121304</v>
      </c>
      <c r="H114" s="628">
        <f t="shared" si="10"/>
        <v>1583816.0273282733</v>
      </c>
      <c r="I114" s="629">
        <f t="shared" si="18"/>
        <v>1583816.0273282733</v>
      </c>
      <c r="J114" s="505">
        <f t="shared" si="11"/>
        <v>0</v>
      </c>
      <c r="K114" s="505"/>
      <c r="L114" s="513"/>
      <c r="M114" s="505">
        <f t="shared" si="19"/>
        <v>0</v>
      </c>
      <c r="N114" s="513"/>
      <c r="O114" s="505">
        <f t="shared" si="20"/>
        <v>0</v>
      </c>
      <c r="P114" s="505">
        <f t="shared" si="21"/>
        <v>0</v>
      </c>
    </row>
    <row r="115" spans="2:16" ht="12.5">
      <c r="B115" s="145" t="str">
        <f t="shared" si="9"/>
        <v/>
      </c>
      <c r="C115" s="496">
        <f>IF(D94="","-",+C114+1)</f>
        <v>2034</v>
      </c>
      <c r="D115" s="350">
        <f>IF(F114+SUM(E$100:E114)=D$93,F114,D$93-SUM(E$100:E114))</f>
        <v>9599906.1969697066</v>
      </c>
      <c r="E115" s="510">
        <f t="shared" si="15"/>
        <v>518913.84848484851</v>
      </c>
      <c r="F115" s="511">
        <f t="shared" si="16"/>
        <v>9080992.3484848589</v>
      </c>
      <c r="G115" s="511">
        <f t="shared" si="17"/>
        <v>9340449.2727272827</v>
      </c>
      <c r="H115" s="628">
        <f t="shared" si="10"/>
        <v>1527768.5442312511</v>
      </c>
      <c r="I115" s="629">
        <f t="shared" si="18"/>
        <v>1527768.5442312511</v>
      </c>
      <c r="J115" s="505">
        <f t="shared" si="11"/>
        <v>0</v>
      </c>
      <c r="K115" s="505"/>
      <c r="L115" s="513"/>
      <c r="M115" s="505">
        <f t="shared" si="19"/>
        <v>0</v>
      </c>
      <c r="N115" s="513"/>
      <c r="O115" s="505">
        <f t="shared" si="20"/>
        <v>0</v>
      </c>
      <c r="P115" s="505">
        <f t="shared" si="21"/>
        <v>0</v>
      </c>
    </row>
    <row r="116" spans="2:16" ht="12.5">
      <c r="B116" s="145" t="str">
        <f t="shared" si="9"/>
        <v/>
      </c>
      <c r="C116" s="496">
        <f>IF(D94="","-",+C115+1)</f>
        <v>2035</v>
      </c>
      <c r="D116" s="350">
        <f>IF(F115+SUM(E$100:E115)=D$93,F115,D$93-SUM(E$100:E115))</f>
        <v>9080992.3484848589</v>
      </c>
      <c r="E116" s="510">
        <f t="shared" si="15"/>
        <v>518913.84848484851</v>
      </c>
      <c r="F116" s="511">
        <f t="shared" si="16"/>
        <v>8562078.5000000112</v>
      </c>
      <c r="G116" s="511">
        <f t="shared" si="17"/>
        <v>8821535.424242435</v>
      </c>
      <c r="H116" s="628">
        <f t="shared" si="10"/>
        <v>1471721.0611342289</v>
      </c>
      <c r="I116" s="629">
        <f t="shared" si="18"/>
        <v>1471721.0611342289</v>
      </c>
      <c r="J116" s="505">
        <f t="shared" si="11"/>
        <v>0</v>
      </c>
      <c r="K116" s="505"/>
      <c r="L116" s="513"/>
      <c r="M116" s="505">
        <f t="shared" si="19"/>
        <v>0</v>
      </c>
      <c r="N116" s="513"/>
      <c r="O116" s="505">
        <f t="shared" si="20"/>
        <v>0</v>
      </c>
      <c r="P116" s="505">
        <f t="shared" si="21"/>
        <v>0</v>
      </c>
    </row>
    <row r="117" spans="2:16" ht="12.5">
      <c r="B117" s="145" t="str">
        <f t="shared" si="9"/>
        <v/>
      </c>
      <c r="C117" s="496">
        <f>IF(D94="","-",+C116+1)</f>
        <v>2036</v>
      </c>
      <c r="D117" s="350">
        <f>IF(F116+SUM(E$100:E116)=D$93,F116,D$93-SUM(E$100:E116))</f>
        <v>8562078.5000000112</v>
      </c>
      <c r="E117" s="510">
        <f t="shared" si="15"/>
        <v>518913.84848484851</v>
      </c>
      <c r="F117" s="511">
        <f t="shared" si="16"/>
        <v>8043164.6515151625</v>
      </c>
      <c r="G117" s="511">
        <f t="shared" si="17"/>
        <v>8302621.5757575873</v>
      </c>
      <c r="H117" s="628">
        <f t="shared" si="10"/>
        <v>1415673.5780372065</v>
      </c>
      <c r="I117" s="629">
        <f t="shared" si="18"/>
        <v>1415673.5780372065</v>
      </c>
      <c r="J117" s="505">
        <f t="shared" si="11"/>
        <v>0</v>
      </c>
      <c r="K117" s="505"/>
      <c r="L117" s="513"/>
      <c r="M117" s="505">
        <f t="shared" si="19"/>
        <v>0</v>
      </c>
      <c r="N117" s="513"/>
      <c r="O117" s="505">
        <f t="shared" si="20"/>
        <v>0</v>
      </c>
      <c r="P117" s="505">
        <f t="shared" si="21"/>
        <v>0</v>
      </c>
    </row>
    <row r="118" spans="2:16" ht="12.5">
      <c r="B118" s="145" t="str">
        <f t="shared" si="9"/>
        <v/>
      </c>
      <c r="C118" s="496">
        <f>IF(D94="","-",+C117+1)</f>
        <v>2037</v>
      </c>
      <c r="D118" s="350">
        <f>IF(F117+SUM(E$100:E117)=D$93,F117,D$93-SUM(E$100:E117))</f>
        <v>8043164.6515151625</v>
      </c>
      <c r="E118" s="510">
        <f t="shared" si="15"/>
        <v>518913.84848484851</v>
      </c>
      <c r="F118" s="511">
        <f t="shared" si="16"/>
        <v>7524250.8030303139</v>
      </c>
      <c r="G118" s="511">
        <f t="shared" si="17"/>
        <v>7783707.7272727378</v>
      </c>
      <c r="H118" s="628">
        <f t="shared" si="10"/>
        <v>1359626.0949401841</v>
      </c>
      <c r="I118" s="629">
        <f t="shared" si="18"/>
        <v>1359626.0949401841</v>
      </c>
      <c r="J118" s="505">
        <f t="shared" si="11"/>
        <v>0</v>
      </c>
      <c r="K118" s="505"/>
      <c r="L118" s="513"/>
      <c r="M118" s="505">
        <f t="shared" si="19"/>
        <v>0</v>
      </c>
      <c r="N118" s="513"/>
      <c r="O118" s="505">
        <f t="shared" si="20"/>
        <v>0</v>
      </c>
      <c r="P118" s="505">
        <f t="shared" si="21"/>
        <v>0</v>
      </c>
    </row>
    <row r="119" spans="2:16" ht="12.5">
      <c r="B119" s="145" t="str">
        <f t="shared" si="9"/>
        <v/>
      </c>
      <c r="C119" s="496">
        <f>IF(D94="","-",+C118+1)</f>
        <v>2038</v>
      </c>
      <c r="D119" s="350">
        <f>IF(F118+SUM(E$100:E118)=D$93,F118,D$93-SUM(E$100:E118))</f>
        <v>7524250.8030303139</v>
      </c>
      <c r="E119" s="510">
        <f t="shared" si="15"/>
        <v>518913.84848484851</v>
      </c>
      <c r="F119" s="511">
        <f t="shared" si="16"/>
        <v>7005336.9545454653</v>
      </c>
      <c r="G119" s="511">
        <f t="shared" si="17"/>
        <v>7264793.8787878901</v>
      </c>
      <c r="H119" s="628">
        <f t="shared" si="10"/>
        <v>1303578.611843162</v>
      </c>
      <c r="I119" s="629">
        <f t="shared" si="18"/>
        <v>1303578.611843162</v>
      </c>
      <c r="J119" s="505">
        <f t="shared" si="11"/>
        <v>0</v>
      </c>
      <c r="K119" s="505"/>
      <c r="L119" s="513"/>
      <c r="M119" s="505">
        <f t="shared" si="19"/>
        <v>0</v>
      </c>
      <c r="N119" s="513"/>
      <c r="O119" s="505">
        <f t="shared" si="20"/>
        <v>0</v>
      </c>
      <c r="P119" s="505">
        <f t="shared" si="21"/>
        <v>0</v>
      </c>
    </row>
    <row r="120" spans="2:16" ht="12.5">
      <c r="B120" s="145" t="str">
        <f t="shared" si="9"/>
        <v/>
      </c>
      <c r="C120" s="496">
        <f>IF(D94="","-",+C119+1)</f>
        <v>2039</v>
      </c>
      <c r="D120" s="350">
        <f>IF(F119+SUM(E$100:E119)=D$93,F119,D$93-SUM(E$100:E119))</f>
        <v>7005336.9545454653</v>
      </c>
      <c r="E120" s="510">
        <f t="shared" si="15"/>
        <v>518913.84848484851</v>
      </c>
      <c r="F120" s="511">
        <f t="shared" si="16"/>
        <v>6486423.1060606167</v>
      </c>
      <c r="G120" s="511">
        <f t="shared" si="17"/>
        <v>6745880.0303030405</v>
      </c>
      <c r="H120" s="628">
        <f t="shared" si="10"/>
        <v>1247531.1287461396</v>
      </c>
      <c r="I120" s="629">
        <f t="shared" si="18"/>
        <v>1247531.1287461396</v>
      </c>
      <c r="J120" s="505">
        <f t="shared" si="11"/>
        <v>0</v>
      </c>
      <c r="K120" s="505"/>
      <c r="L120" s="513"/>
      <c r="M120" s="505">
        <f t="shared" si="19"/>
        <v>0</v>
      </c>
      <c r="N120" s="513"/>
      <c r="O120" s="505">
        <f t="shared" si="20"/>
        <v>0</v>
      </c>
      <c r="P120" s="505">
        <f t="shared" si="21"/>
        <v>0</v>
      </c>
    </row>
    <row r="121" spans="2:16" ht="12.5">
      <c r="B121" s="145" t="str">
        <f t="shared" si="9"/>
        <v/>
      </c>
      <c r="C121" s="496">
        <f>IF(D94="","-",+C120+1)</f>
        <v>2040</v>
      </c>
      <c r="D121" s="350">
        <f>IF(F120+SUM(E$100:E120)=D$93,F120,D$93-SUM(E$100:E120))</f>
        <v>6486423.1060606167</v>
      </c>
      <c r="E121" s="510">
        <f t="shared" si="15"/>
        <v>518913.84848484851</v>
      </c>
      <c r="F121" s="511">
        <f t="shared" si="16"/>
        <v>5967509.257575768</v>
      </c>
      <c r="G121" s="511">
        <f t="shared" si="17"/>
        <v>6226966.1818181928</v>
      </c>
      <c r="H121" s="628">
        <f t="shared" si="10"/>
        <v>1191483.6456491174</v>
      </c>
      <c r="I121" s="629">
        <f t="shared" si="18"/>
        <v>1191483.6456491174</v>
      </c>
      <c r="J121" s="505">
        <f t="shared" si="11"/>
        <v>0</v>
      </c>
      <c r="K121" s="505"/>
      <c r="L121" s="513"/>
      <c r="M121" s="505">
        <f t="shared" si="19"/>
        <v>0</v>
      </c>
      <c r="N121" s="513"/>
      <c r="O121" s="505">
        <f t="shared" si="20"/>
        <v>0</v>
      </c>
      <c r="P121" s="505">
        <f t="shared" si="21"/>
        <v>0</v>
      </c>
    </row>
    <row r="122" spans="2:16" ht="12.5">
      <c r="B122" s="145" t="str">
        <f t="shared" si="9"/>
        <v/>
      </c>
      <c r="C122" s="496">
        <f>IF(D94="","-",+C121+1)</f>
        <v>2041</v>
      </c>
      <c r="D122" s="350">
        <f>IF(F121+SUM(E$100:E121)=D$93,F121,D$93-SUM(E$100:E121))</f>
        <v>5967509.257575768</v>
      </c>
      <c r="E122" s="510">
        <f t="shared" si="15"/>
        <v>518913.84848484851</v>
      </c>
      <c r="F122" s="511">
        <f t="shared" si="16"/>
        <v>5448595.4090909194</v>
      </c>
      <c r="G122" s="511">
        <f t="shared" si="17"/>
        <v>5708052.3333333433</v>
      </c>
      <c r="H122" s="628">
        <f t="shared" si="10"/>
        <v>1135436.162552095</v>
      </c>
      <c r="I122" s="629">
        <f t="shared" si="18"/>
        <v>1135436.162552095</v>
      </c>
      <c r="J122" s="505">
        <f t="shared" si="11"/>
        <v>0</v>
      </c>
      <c r="K122" s="505"/>
      <c r="L122" s="513"/>
      <c r="M122" s="505">
        <f t="shared" si="19"/>
        <v>0</v>
      </c>
      <c r="N122" s="513"/>
      <c r="O122" s="505">
        <f t="shared" si="20"/>
        <v>0</v>
      </c>
      <c r="P122" s="505">
        <f t="shared" si="21"/>
        <v>0</v>
      </c>
    </row>
    <row r="123" spans="2:16" ht="12.5">
      <c r="B123" s="145" t="str">
        <f t="shared" si="9"/>
        <v/>
      </c>
      <c r="C123" s="496">
        <f>IF(D94="","-",+C122+1)</f>
        <v>2042</v>
      </c>
      <c r="D123" s="350">
        <f>IF(F122+SUM(E$100:E122)=D$93,F122,D$93-SUM(E$100:E122))</f>
        <v>5448595.4090909194</v>
      </c>
      <c r="E123" s="510">
        <f t="shared" si="15"/>
        <v>518913.84848484851</v>
      </c>
      <c r="F123" s="511">
        <f t="shared" si="16"/>
        <v>4929681.5606060708</v>
      </c>
      <c r="G123" s="511">
        <f t="shared" si="17"/>
        <v>5189138.4848484956</v>
      </c>
      <c r="H123" s="628">
        <f t="shared" si="10"/>
        <v>1079388.6794550726</v>
      </c>
      <c r="I123" s="629">
        <f t="shared" si="18"/>
        <v>1079388.6794550726</v>
      </c>
      <c r="J123" s="505">
        <f t="shared" si="11"/>
        <v>0</v>
      </c>
      <c r="K123" s="505"/>
      <c r="L123" s="513"/>
      <c r="M123" s="505">
        <f t="shared" si="19"/>
        <v>0</v>
      </c>
      <c r="N123" s="513"/>
      <c r="O123" s="505">
        <f t="shared" si="20"/>
        <v>0</v>
      </c>
      <c r="P123" s="505">
        <f t="shared" si="21"/>
        <v>0</v>
      </c>
    </row>
    <row r="124" spans="2:16" ht="12.5">
      <c r="B124" s="145" t="str">
        <f t="shared" si="9"/>
        <v/>
      </c>
      <c r="C124" s="496">
        <f>IF(D94="","-",+C123+1)</f>
        <v>2043</v>
      </c>
      <c r="D124" s="350">
        <f>IF(F123+SUM(E$100:E123)=D$93,F123,D$93-SUM(E$100:E123))</f>
        <v>4929681.5606060708</v>
      </c>
      <c r="E124" s="510">
        <f t="shared" si="15"/>
        <v>518913.84848484851</v>
      </c>
      <c r="F124" s="511">
        <f t="shared" si="16"/>
        <v>4410767.7121212222</v>
      </c>
      <c r="G124" s="511">
        <f t="shared" si="17"/>
        <v>4670224.636363646</v>
      </c>
      <c r="H124" s="628">
        <f t="shared" si="10"/>
        <v>1023341.1963580503</v>
      </c>
      <c r="I124" s="629">
        <f t="shared" si="18"/>
        <v>1023341.1963580503</v>
      </c>
      <c r="J124" s="505">
        <f t="shared" si="11"/>
        <v>0</v>
      </c>
      <c r="K124" s="505"/>
      <c r="L124" s="513"/>
      <c r="M124" s="505">
        <f t="shared" si="19"/>
        <v>0</v>
      </c>
      <c r="N124" s="513"/>
      <c r="O124" s="505">
        <f t="shared" si="20"/>
        <v>0</v>
      </c>
      <c r="P124" s="505">
        <f t="shared" si="21"/>
        <v>0</v>
      </c>
    </row>
    <row r="125" spans="2:16" ht="12.5">
      <c r="B125" s="145" t="str">
        <f t="shared" si="9"/>
        <v/>
      </c>
      <c r="C125" s="496">
        <f>IF(D94="","-",+C124+1)</f>
        <v>2044</v>
      </c>
      <c r="D125" s="350">
        <f>IF(F124+SUM(E$100:E124)=D$93,F124,D$93-SUM(E$100:E124))</f>
        <v>4410767.7121212222</v>
      </c>
      <c r="E125" s="510">
        <f t="shared" si="15"/>
        <v>518913.84848484851</v>
      </c>
      <c r="F125" s="511">
        <f t="shared" si="16"/>
        <v>3891853.8636363735</v>
      </c>
      <c r="G125" s="511">
        <f t="shared" si="17"/>
        <v>4151310.7878787979</v>
      </c>
      <c r="H125" s="628">
        <f t="shared" si="10"/>
        <v>967293.71326102805</v>
      </c>
      <c r="I125" s="629">
        <f t="shared" si="18"/>
        <v>967293.71326102805</v>
      </c>
      <c r="J125" s="505">
        <f t="shared" si="11"/>
        <v>0</v>
      </c>
      <c r="K125" s="505"/>
      <c r="L125" s="513"/>
      <c r="M125" s="505">
        <f t="shared" si="19"/>
        <v>0</v>
      </c>
      <c r="N125" s="513"/>
      <c r="O125" s="505">
        <f t="shared" si="20"/>
        <v>0</v>
      </c>
      <c r="P125" s="505">
        <f t="shared" si="21"/>
        <v>0</v>
      </c>
    </row>
    <row r="126" spans="2:16" ht="12.5">
      <c r="B126" s="145" t="str">
        <f t="shared" si="9"/>
        <v/>
      </c>
      <c r="C126" s="496">
        <f>IF(D94="","-",+C125+1)</f>
        <v>2045</v>
      </c>
      <c r="D126" s="350">
        <f>IF(F125+SUM(E$100:E125)=D$93,F125,D$93-SUM(E$100:E125))</f>
        <v>3891853.8636363735</v>
      </c>
      <c r="E126" s="510">
        <f t="shared" si="15"/>
        <v>518913.84848484851</v>
      </c>
      <c r="F126" s="511">
        <f t="shared" si="16"/>
        <v>3372940.0151515249</v>
      </c>
      <c r="G126" s="511">
        <f t="shared" si="17"/>
        <v>3632396.9393939492</v>
      </c>
      <c r="H126" s="628">
        <f t="shared" si="10"/>
        <v>911246.23016400565</v>
      </c>
      <c r="I126" s="629">
        <f t="shared" si="18"/>
        <v>911246.23016400565</v>
      </c>
      <c r="J126" s="505">
        <f t="shared" si="11"/>
        <v>0</v>
      </c>
      <c r="K126" s="505"/>
      <c r="L126" s="513"/>
      <c r="M126" s="505">
        <f t="shared" si="19"/>
        <v>0</v>
      </c>
      <c r="N126" s="513"/>
      <c r="O126" s="505">
        <f t="shared" si="20"/>
        <v>0</v>
      </c>
      <c r="P126" s="505">
        <f t="shared" si="21"/>
        <v>0</v>
      </c>
    </row>
    <row r="127" spans="2:16" ht="12.5">
      <c r="B127" s="145" t="str">
        <f t="shared" si="9"/>
        <v/>
      </c>
      <c r="C127" s="496">
        <f>IF(D94="","-",+C126+1)</f>
        <v>2046</v>
      </c>
      <c r="D127" s="350">
        <f>IF(F126+SUM(E$100:E126)=D$93,F126,D$93-SUM(E$100:E126))</f>
        <v>3372940.0151515249</v>
      </c>
      <c r="E127" s="510">
        <f t="shared" si="15"/>
        <v>518913.84848484851</v>
      </c>
      <c r="F127" s="511">
        <f t="shared" si="16"/>
        <v>2854026.1666666763</v>
      </c>
      <c r="G127" s="511">
        <f t="shared" si="17"/>
        <v>3113483.0909091006</v>
      </c>
      <c r="H127" s="628">
        <f t="shared" si="10"/>
        <v>855198.74706698337</v>
      </c>
      <c r="I127" s="629">
        <f t="shared" si="18"/>
        <v>855198.74706698337</v>
      </c>
      <c r="J127" s="505">
        <f t="shared" si="11"/>
        <v>0</v>
      </c>
      <c r="K127" s="505"/>
      <c r="L127" s="513"/>
      <c r="M127" s="505">
        <f t="shared" si="19"/>
        <v>0</v>
      </c>
      <c r="N127" s="513"/>
      <c r="O127" s="505">
        <f t="shared" si="20"/>
        <v>0</v>
      </c>
      <c r="P127" s="505">
        <f t="shared" si="21"/>
        <v>0</v>
      </c>
    </row>
    <row r="128" spans="2:16" ht="12.5">
      <c r="B128" s="145" t="str">
        <f t="shared" si="9"/>
        <v/>
      </c>
      <c r="C128" s="496">
        <f>IF(D94="","-",+C127+1)</f>
        <v>2047</v>
      </c>
      <c r="D128" s="350">
        <f>IF(F127+SUM(E$100:E127)=D$93,F127,D$93-SUM(E$100:E127))</f>
        <v>2854026.1666666763</v>
      </c>
      <c r="E128" s="510">
        <f t="shared" si="15"/>
        <v>518913.84848484851</v>
      </c>
      <c r="F128" s="511">
        <f t="shared" si="16"/>
        <v>2335112.3181818277</v>
      </c>
      <c r="G128" s="511">
        <f t="shared" si="17"/>
        <v>2594569.242424252</v>
      </c>
      <c r="H128" s="628">
        <f t="shared" si="10"/>
        <v>799151.26396996109</v>
      </c>
      <c r="I128" s="629">
        <f t="shared" si="18"/>
        <v>799151.26396996109</v>
      </c>
      <c r="J128" s="505">
        <f t="shared" si="11"/>
        <v>0</v>
      </c>
      <c r="K128" s="505"/>
      <c r="L128" s="513"/>
      <c r="M128" s="505">
        <f t="shared" si="19"/>
        <v>0</v>
      </c>
      <c r="N128" s="513"/>
      <c r="O128" s="505">
        <f t="shared" si="20"/>
        <v>0</v>
      </c>
      <c r="P128" s="505">
        <f t="shared" si="21"/>
        <v>0</v>
      </c>
    </row>
    <row r="129" spans="2:16" ht="12.5">
      <c r="B129" s="145" t="str">
        <f t="shared" si="9"/>
        <v/>
      </c>
      <c r="C129" s="496">
        <f>IF(D94="","-",+C128+1)</f>
        <v>2048</v>
      </c>
      <c r="D129" s="350">
        <f>IF(F128+SUM(E$100:E128)=D$93,F128,D$93-SUM(E$100:E128))</f>
        <v>2335112.3181818277</v>
      </c>
      <c r="E129" s="510">
        <f t="shared" si="15"/>
        <v>518913.84848484851</v>
      </c>
      <c r="F129" s="511">
        <f t="shared" si="16"/>
        <v>1816198.469696979</v>
      </c>
      <c r="G129" s="511">
        <f t="shared" si="17"/>
        <v>2075655.3939394034</v>
      </c>
      <c r="H129" s="628">
        <f t="shared" si="10"/>
        <v>743103.78087293869</v>
      </c>
      <c r="I129" s="629">
        <f t="shared" si="18"/>
        <v>743103.78087293869</v>
      </c>
      <c r="J129" s="505">
        <f t="shared" si="11"/>
        <v>0</v>
      </c>
      <c r="K129" s="505"/>
      <c r="L129" s="513"/>
      <c r="M129" s="505">
        <f t="shared" si="19"/>
        <v>0</v>
      </c>
      <c r="N129" s="513"/>
      <c r="O129" s="505">
        <f t="shared" si="20"/>
        <v>0</v>
      </c>
      <c r="P129" s="505">
        <f t="shared" si="21"/>
        <v>0</v>
      </c>
    </row>
    <row r="130" spans="2:16" ht="12.5">
      <c r="B130" s="145" t="str">
        <f t="shared" si="9"/>
        <v/>
      </c>
      <c r="C130" s="496">
        <f>IF(D94="","-",+C129+1)</f>
        <v>2049</v>
      </c>
      <c r="D130" s="350">
        <f>IF(F129+SUM(E$100:E129)=D$93,F129,D$93-SUM(E$100:E129))</f>
        <v>1816198.469696979</v>
      </c>
      <c r="E130" s="510">
        <f t="shared" si="15"/>
        <v>518913.84848484851</v>
      </c>
      <c r="F130" s="511">
        <f t="shared" si="16"/>
        <v>1297284.6212121304</v>
      </c>
      <c r="G130" s="511">
        <f t="shared" si="17"/>
        <v>1556741.5454545547</v>
      </c>
      <c r="H130" s="628">
        <f t="shared" si="10"/>
        <v>687056.29777591641</v>
      </c>
      <c r="I130" s="629">
        <f t="shared" si="18"/>
        <v>687056.29777591641</v>
      </c>
      <c r="J130" s="505">
        <f t="shared" si="11"/>
        <v>0</v>
      </c>
      <c r="K130" s="505"/>
      <c r="L130" s="513"/>
      <c r="M130" s="505">
        <f t="shared" si="19"/>
        <v>0</v>
      </c>
      <c r="N130" s="513"/>
      <c r="O130" s="505">
        <f t="shared" si="20"/>
        <v>0</v>
      </c>
      <c r="P130" s="505">
        <f t="shared" si="21"/>
        <v>0</v>
      </c>
    </row>
    <row r="131" spans="2:16" ht="12.5">
      <c r="B131" s="145" t="str">
        <f t="shared" si="9"/>
        <v/>
      </c>
      <c r="C131" s="496">
        <f>IF(D94="","-",+C130+1)</f>
        <v>2050</v>
      </c>
      <c r="D131" s="350">
        <f>IF(F130+SUM(E$100:E130)=D$93,F130,D$93-SUM(E$100:E130))</f>
        <v>1297284.6212121304</v>
      </c>
      <c r="E131" s="510">
        <f t="shared" si="15"/>
        <v>518913.84848484851</v>
      </c>
      <c r="F131" s="511">
        <f t="shared" si="16"/>
        <v>778370.7727272819</v>
      </c>
      <c r="G131" s="511">
        <f t="shared" si="17"/>
        <v>1037827.6969697061</v>
      </c>
      <c r="H131" s="628">
        <f t="shared" si="10"/>
        <v>631008.81467889412</v>
      </c>
      <c r="I131" s="629">
        <f t="shared" si="18"/>
        <v>631008.81467889412</v>
      </c>
      <c r="J131" s="505">
        <f t="shared" si="11"/>
        <v>0</v>
      </c>
      <c r="K131" s="505"/>
      <c r="L131" s="513"/>
      <c r="M131" s="505">
        <f t="shared" si="19"/>
        <v>0</v>
      </c>
      <c r="N131" s="513"/>
      <c r="O131" s="505">
        <f t="shared" si="20"/>
        <v>0</v>
      </c>
      <c r="P131" s="505">
        <f t="shared" si="21"/>
        <v>0</v>
      </c>
    </row>
    <row r="132" spans="2:16" ht="12.5">
      <c r="B132" s="145" t="str">
        <f t="shared" si="9"/>
        <v/>
      </c>
      <c r="C132" s="496">
        <f>IF(D94="","-",+C131+1)</f>
        <v>2051</v>
      </c>
      <c r="D132" s="350">
        <f>IF(F131+SUM(E$100:E131)=D$93,F131,D$93-SUM(E$100:E131))</f>
        <v>778370.7727272819</v>
      </c>
      <c r="E132" s="510">
        <f t="shared" si="15"/>
        <v>518913.84848484851</v>
      </c>
      <c r="F132" s="511">
        <f t="shared" si="16"/>
        <v>259456.92424243339</v>
      </c>
      <c r="G132" s="511">
        <f t="shared" si="17"/>
        <v>518913.84848485765</v>
      </c>
      <c r="H132" s="628">
        <f t="shared" si="10"/>
        <v>574961.33158187184</v>
      </c>
      <c r="I132" s="629">
        <f t="shared" si="18"/>
        <v>574961.33158187184</v>
      </c>
      <c r="J132" s="505">
        <f t="shared" ref="J132:J155" si="22">+I542-H542</f>
        <v>0</v>
      </c>
      <c r="K132" s="505"/>
      <c r="L132" s="513"/>
      <c r="M132" s="505">
        <f t="shared" ref="M132:M155" si="23">IF(L542&lt;&gt;0,+H542-L542,0)</f>
        <v>0</v>
      </c>
      <c r="N132" s="513"/>
      <c r="O132" s="505">
        <f t="shared" ref="O132:O155" si="24">IF(N542&lt;&gt;0,+I542-N542,0)</f>
        <v>0</v>
      </c>
      <c r="P132" s="505">
        <f t="shared" ref="P132:P155" si="25">+O542-M542</f>
        <v>0</v>
      </c>
    </row>
    <row r="133" spans="2:16" ht="12.5">
      <c r="B133" s="145" t="str">
        <f t="shared" si="9"/>
        <v/>
      </c>
      <c r="C133" s="496">
        <f>IF(D94="","-",+C132+1)</f>
        <v>2052</v>
      </c>
      <c r="D133" s="350">
        <f>IF(F132+SUM(E$100:E132)=D$93,F132,D$93-SUM(E$100:E132))</f>
        <v>259456.92424243339</v>
      </c>
      <c r="E133" s="510">
        <f t="shared" si="15"/>
        <v>259456.92424243339</v>
      </c>
      <c r="F133" s="511">
        <f t="shared" si="16"/>
        <v>0</v>
      </c>
      <c r="G133" s="511">
        <f t="shared" si="17"/>
        <v>129728.4621212167</v>
      </c>
      <c r="H133" s="628">
        <f t="shared" si="10"/>
        <v>273468.79501668946</v>
      </c>
      <c r="I133" s="629">
        <f t="shared" si="18"/>
        <v>273468.79501668946</v>
      </c>
      <c r="J133" s="505">
        <f t="shared" si="22"/>
        <v>0</v>
      </c>
      <c r="K133" s="505"/>
      <c r="L133" s="513"/>
      <c r="M133" s="505">
        <f t="shared" si="23"/>
        <v>0</v>
      </c>
      <c r="N133" s="513"/>
      <c r="O133" s="505">
        <f t="shared" si="24"/>
        <v>0</v>
      </c>
      <c r="P133" s="505">
        <f t="shared" si="25"/>
        <v>0</v>
      </c>
    </row>
    <row r="134" spans="2:16" ht="12.5">
      <c r="B134" s="145" t="str">
        <f t="shared" si="9"/>
        <v/>
      </c>
      <c r="C134" s="496">
        <f>IF(D94="","-",+C133+1)</f>
        <v>2053</v>
      </c>
      <c r="D134" s="350">
        <f>IF(F133+SUM(E$100:E133)=D$93,F133,D$93-SUM(E$100:E133))</f>
        <v>0</v>
      </c>
      <c r="E134" s="510">
        <f t="shared" si="15"/>
        <v>0</v>
      </c>
      <c r="F134" s="511">
        <f t="shared" si="16"/>
        <v>0</v>
      </c>
      <c r="G134" s="511">
        <f t="shared" si="17"/>
        <v>0</v>
      </c>
      <c r="H134" s="628">
        <f t="shared" si="10"/>
        <v>0</v>
      </c>
      <c r="I134" s="629">
        <f t="shared" si="18"/>
        <v>0</v>
      </c>
      <c r="J134" s="505">
        <f t="shared" si="22"/>
        <v>0</v>
      </c>
      <c r="K134" s="505"/>
      <c r="L134" s="513"/>
      <c r="M134" s="505">
        <f t="shared" si="23"/>
        <v>0</v>
      </c>
      <c r="N134" s="513"/>
      <c r="O134" s="505">
        <f t="shared" si="24"/>
        <v>0</v>
      </c>
      <c r="P134" s="505">
        <f t="shared" si="25"/>
        <v>0</v>
      </c>
    </row>
    <row r="135" spans="2:16" ht="12.5">
      <c r="B135" s="145" t="str">
        <f t="shared" si="9"/>
        <v/>
      </c>
      <c r="C135" s="496">
        <f>IF(D94="","-",+C134+1)</f>
        <v>2054</v>
      </c>
      <c r="D135" s="350">
        <f>IF(F134+SUM(E$100:E134)=D$93,F134,D$93-SUM(E$100:E134))</f>
        <v>0</v>
      </c>
      <c r="E135" s="510">
        <f t="shared" si="15"/>
        <v>0</v>
      </c>
      <c r="F135" s="511">
        <f t="shared" si="16"/>
        <v>0</v>
      </c>
      <c r="G135" s="511">
        <f t="shared" si="17"/>
        <v>0</v>
      </c>
      <c r="H135" s="628">
        <f t="shared" si="10"/>
        <v>0</v>
      </c>
      <c r="I135" s="629">
        <f t="shared" si="18"/>
        <v>0</v>
      </c>
      <c r="J135" s="505">
        <f t="shared" si="22"/>
        <v>0</v>
      </c>
      <c r="K135" s="505"/>
      <c r="L135" s="513"/>
      <c r="M135" s="505">
        <f t="shared" si="23"/>
        <v>0</v>
      </c>
      <c r="N135" s="513"/>
      <c r="O135" s="505">
        <f t="shared" si="24"/>
        <v>0</v>
      </c>
      <c r="P135" s="505">
        <f t="shared" si="25"/>
        <v>0</v>
      </c>
    </row>
    <row r="136" spans="2:16" ht="12.5">
      <c r="B136" s="145" t="str">
        <f t="shared" si="9"/>
        <v/>
      </c>
      <c r="C136" s="496">
        <f>IF(D94="","-",+C135+1)</f>
        <v>2055</v>
      </c>
      <c r="D136" s="350">
        <f>IF(F135+SUM(E$100:E135)=D$93,F135,D$93-SUM(E$100:E135))</f>
        <v>0</v>
      </c>
      <c r="E136" s="510">
        <f t="shared" si="15"/>
        <v>0</v>
      </c>
      <c r="F136" s="511">
        <f t="shared" si="16"/>
        <v>0</v>
      </c>
      <c r="G136" s="511">
        <f t="shared" si="17"/>
        <v>0</v>
      </c>
      <c r="H136" s="628">
        <f t="shared" si="10"/>
        <v>0</v>
      </c>
      <c r="I136" s="629">
        <f t="shared" si="18"/>
        <v>0</v>
      </c>
      <c r="J136" s="505">
        <f t="shared" si="22"/>
        <v>0</v>
      </c>
      <c r="K136" s="505"/>
      <c r="L136" s="513"/>
      <c r="M136" s="505">
        <f t="shared" si="23"/>
        <v>0</v>
      </c>
      <c r="N136" s="513"/>
      <c r="O136" s="505">
        <f t="shared" si="24"/>
        <v>0</v>
      </c>
      <c r="P136" s="505">
        <f t="shared" si="25"/>
        <v>0</v>
      </c>
    </row>
    <row r="137" spans="2:16" ht="12.5">
      <c r="B137" s="145" t="str">
        <f t="shared" si="9"/>
        <v/>
      </c>
      <c r="C137" s="496">
        <f>IF(D94="","-",+C136+1)</f>
        <v>2056</v>
      </c>
      <c r="D137" s="350">
        <f>IF(F136+SUM(E$100:E136)=D$93,F136,D$93-SUM(E$100:E136))</f>
        <v>0</v>
      </c>
      <c r="E137" s="510">
        <f t="shared" si="15"/>
        <v>0</v>
      </c>
      <c r="F137" s="511">
        <f t="shared" si="16"/>
        <v>0</v>
      </c>
      <c r="G137" s="511">
        <f t="shared" si="17"/>
        <v>0</v>
      </c>
      <c r="H137" s="628">
        <f t="shared" si="10"/>
        <v>0</v>
      </c>
      <c r="I137" s="629">
        <f t="shared" si="18"/>
        <v>0</v>
      </c>
      <c r="J137" s="505">
        <f t="shared" si="22"/>
        <v>0</v>
      </c>
      <c r="K137" s="505"/>
      <c r="L137" s="513"/>
      <c r="M137" s="505">
        <f t="shared" si="23"/>
        <v>0</v>
      </c>
      <c r="N137" s="513"/>
      <c r="O137" s="505">
        <f t="shared" si="24"/>
        <v>0</v>
      </c>
      <c r="P137" s="505">
        <f t="shared" si="25"/>
        <v>0</v>
      </c>
    </row>
    <row r="138" spans="2:16" ht="12.5">
      <c r="B138" s="145" t="str">
        <f t="shared" si="9"/>
        <v/>
      </c>
      <c r="C138" s="496">
        <f>IF(D94="","-",+C137+1)</f>
        <v>2057</v>
      </c>
      <c r="D138" s="350">
        <f>IF(F137+SUM(E$100:E137)=D$93,F137,D$93-SUM(E$100:E137))</f>
        <v>0</v>
      </c>
      <c r="E138" s="510">
        <f t="shared" si="15"/>
        <v>0</v>
      </c>
      <c r="F138" s="511">
        <f t="shared" si="16"/>
        <v>0</v>
      </c>
      <c r="G138" s="511">
        <f t="shared" si="17"/>
        <v>0</v>
      </c>
      <c r="H138" s="628">
        <f t="shared" si="10"/>
        <v>0</v>
      </c>
      <c r="I138" s="629">
        <f t="shared" si="18"/>
        <v>0</v>
      </c>
      <c r="J138" s="505">
        <f t="shared" si="22"/>
        <v>0</v>
      </c>
      <c r="K138" s="505"/>
      <c r="L138" s="513"/>
      <c r="M138" s="505">
        <f t="shared" si="23"/>
        <v>0</v>
      </c>
      <c r="N138" s="513"/>
      <c r="O138" s="505">
        <f t="shared" si="24"/>
        <v>0</v>
      </c>
      <c r="P138" s="505">
        <f t="shared" si="25"/>
        <v>0</v>
      </c>
    </row>
    <row r="139" spans="2:16" ht="12.5">
      <c r="B139" s="145" t="str">
        <f t="shared" si="9"/>
        <v/>
      </c>
      <c r="C139" s="496">
        <f>IF(D94="","-",+C138+1)</f>
        <v>2058</v>
      </c>
      <c r="D139" s="350">
        <f>IF(F138+SUM(E$100:E138)=D$93,F138,D$93-SUM(E$100:E138))</f>
        <v>0</v>
      </c>
      <c r="E139" s="510">
        <f t="shared" si="15"/>
        <v>0</v>
      </c>
      <c r="F139" s="511">
        <f t="shared" si="16"/>
        <v>0</v>
      </c>
      <c r="G139" s="511">
        <f t="shared" si="17"/>
        <v>0</v>
      </c>
      <c r="H139" s="628">
        <f t="shared" si="10"/>
        <v>0</v>
      </c>
      <c r="I139" s="629">
        <f t="shared" si="18"/>
        <v>0</v>
      </c>
      <c r="J139" s="505">
        <f t="shared" si="22"/>
        <v>0</v>
      </c>
      <c r="K139" s="505"/>
      <c r="L139" s="513"/>
      <c r="M139" s="505">
        <f t="shared" si="23"/>
        <v>0</v>
      </c>
      <c r="N139" s="513"/>
      <c r="O139" s="505">
        <f t="shared" si="24"/>
        <v>0</v>
      </c>
      <c r="P139" s="505">
        <f t="shared" si="25"/>
        <v>0</v>
      </c>
    </row>
    <row r="140" spans="2:16" ht="12.5">
      <c r="B140" s="145" t="str">
        <f t="shared" si="9"/>
        <v/>
      </c>
      <c r="C140" s="496">
        <f>IF(D94="","-",+C139+1)</f>
        <v>2059</v>
      </c>
      <c r="D140" s="350">
        <f>IF(F139+SUM(E$100:E139)=D$93,F139,D$93-SUM(E$100:E139))</f>
        <v>0</v>
      </c>
      <c r="E140" s="510">
        <f t="shared" si="15"/>
        <v>0</v>
      </c>
      <c r="F140" s="511">
        <f t="shared" si="16"/>
        <v>0</v>
      </c>
      <c r="G140" s="511">
        <f t="shared" si="17"/>
        <v>0</v>
      </c>
      <c r="H140" s="628">
        <f t="shared" si="10"/>
        <v>0</v>
      </c>
      <c r="I140" s="629">
        <f t="shared" si="18"/>
        <v>0</v>
      </c>
      <c r="J140" s="505">
        <f t="shared" si="22"/>
        <v>0</v>
      </c>
      <c r="K140" s="505"/>
      <c r="L140" s="513"/>
      <c r="M140" s="505">
        <f t="shared" si="23"/>
        <v>0</v>
      </c>
      <c r="N140" s="513"/>
      <c r="O140" s="505">
        <f t="shared" si="24"/>
        <v>0</v>
      </c>
      <c r="P140" s="505">
        <f t="shared" si="25"/>
        <v>0</v>
      </c>
    </row>
    <row r="141" spans="2:16" ht="12.5">
      <c r="B141" s="145" t="str">
        <f t="shared" si="9"/>
        <v/>
      </c>
      <c r="C141" s="496">
        <f>IF(D94="","-",+C140+1)</f>
        <v>2060</v>
      </c>
      <c r="D141" s="350">
        <f>IF(F140+SUM(E$100:E140)=D$93,F140,D$93-SUM(E$100:E140))</f>
        <v>0</v>
      </c>
      <c r="E141" s="510">
        <f t="shared" si="15"/>
        <v>0</v>
      </c>
      <c r="F141" s="511">
        <f t="shared" si="16"/>
        <v>0</v>
      </c>
      <c r="G141" s="511">
        <f t="shared" si="17"/>
        <v>0</v>
      </c>
      <c r="H141" s="628">
        <f t="shared" si="10"/>
        <v>0</v>
      </c>
      <c r="I141" s="629">
        <f t="shared" si="18"/>
        <v>0</v>
      </c>
      <c r="J141" s="505">
        <f t="shared" si="22"/>
        <v>0</v>
      </c>
      <c r="K141" s="505"/>
      <c r="L141" s="513"/>
      <c r="M141" s="505">
        <f t="shared" si="23"/>
        <v>0</v>
      </c>
      <c r="N141" s="513"/>
      <c r="O141" s="505">
        <f t="shared" si="24"/>
        <v>0</v>
      </c>
      <c r="P141" s="505">
        <f t="shared" si="25"/>
        <v>0</v>
      </c>
    </row>
    <row r="142" spans="2:16" ht="12.5">
      <c r="B142" s="145" t="str">
        <f t="shared" si="9"/>
        <v/>
      </c>
      <c r="C142" s="496">
        <f>IF(D94="","-",+C141+1)</f>
        <v>2061</v>
      </c>
      <c r="D142" s="350">
        <f>IF(F141+SUM(E$100:E141)=D$93,F141,D$93-SUM(E$100:E141))</f>
        <v>0</v>
      </c>
      <c r="E142" s="510">
        <f t="shared" si="15"/>
        <v>0</v>
      </c>
      <c r="F142" s="511">
        <f t="shared" si="16"/>
        <v>0</v>
      </c>
      <c r="G142" s="511">
        <f t="shared" si="17"/>
        <v>0</v>
      </c>
      <c r="H142" s="628">
        <f t="shared" si="10"/>
        <v>0</v>
      </c>
      <c r="I142" s="629">
        <f t="shared" si="18"/>
        <v>0</v>
      </c>
      <c r="J142" s="505">
        <f t="shared" si="22"/>
        <v>0</v>
      </c>
      <c r="K142" s="505"/>
      <c r="L142" s="513"/>
      <c r="M142" s="505">
        <f t="shared" si="23"/>
        <v>0</v>
      </c>
      <c r="N142" s="513"/>
      <c r="O142" s="505">
        <f t="shared" si="24"/>
        <v>0</v>
      </c>
      <c r="P142" s="505">
        <f t="shared" si="25"/>
        <v>0</v>
      </c>
    </row>
    <row r="143" spans="2:16" ht="12.5">
      <c r="B143" s="145" t="str">
        <f t="shared" si="9"/>
        <v/>
      </c>
      <c r="C143" s="496">
        <f>IF(D94="","-",+C142+1)</f>
        <v>2062</v>
      </c>
      <c r="D143" s="350">
        <f>IF(F142+SUM(E$100:E142)=D$93,F142,D$93-SUM(E$100:E142))</f>
        <v>0</v>
      </c>
      <c r="E143" s="510">
        <f t="shared" si="15"/>
        <v>0</v>
      </c>
      <c r="F143" s="511">
        <f t="shared" si="16"/>
        <v>0</v>
      </c>
      <c r="G143" s="511">
        <f t="shared" si="17"/>
        <v>0</v>
      </c>
      <c r="H143" s="628">
        <f t="shared" si="10"/>
        <v>0</v>
      </c>
      <c r="I143" s="629">
        <f t="shared" si="18"/>
        <v>0</v>
      </c>
      <c r="J143" s="505">
        <f t="shared" si="22"/>
        <v>0</v>
      </c>
      <c r="K143" s="505"/>
      <c r="L143" s="513"/>
      <c r="M143" s="505">
        <f t="shared" si="23"/>
        <v>0</v>
      </c>
      <c r="N143" s="513"/>
      <c r="O143" s="505">
        <f t="shared" si="24"/>
        <v>0</v>
      </c>
      <c r="P143" s="505">
        <f t="shared" si="25"/>
        <v>0</v>
      </c>
    </row>
    <row r="144" spans="2:16" ht="12.5">
      <c r="B144" s="145" t="str">
        <f t="shared" si="9"/>
        <v/>
      </c>
      <c r="C144" s="496">
        <f>IF(D94="","-",+C143+1)</f>
        <v>2063</v>
      </c>
      <c r="D144" s="350">
        <f>IF(F143+SUM(E$100:E143)=D$93,F143,D$93-SUM(E$100:E143))</f>
        <v>0</v>
      </c>
      <c r="E144" s="510">
        <f t="shared" si="15"/>
        <v>0</v>
      </c>
      <c r="F144" s="511">
        <f t="shared" si="16"/>
        <v>0</v>
      </c>
      <c r="G144" s="511">
        <f t="shared" si="17"/>
        <v>0</v>
      </c>
      <c r="H144" s="628">
        <f t="shared" si="10"/>
        <v>0</v>
      </c>
      <c r="I144" s="629">
        <f t="shared" si="18"/>
        <v>0</v>
      </c>
      <c r="J144" s="505">
        <f t="shared" si="22"/>
        <v>0</v>
      </c>
      <c r="K144" s="505"/>
      <c r="L144" s="513"/>
      <c r="M144" s="505">
        <f t="shared" si="23"/>
        <v>0</v>
      </c>
      <c r="N144" s="513"/>
      <c r="O144" s="505">
        <f t="shared" si="24"/>
        <v>0</v>
      </c>
      <c r="P144" s="505">
        <f t="shared" si="25"/>
        <v>0</v>
      </c>
    </row>
    <row r="145" spans="2:16" ht="12.5">
      <c r="B145" s="145" t="str">
        <f t="shared" si="9"/>
        <v/>
      </c>
      <c r="C145" s="496">
        <f>IF(D94="","-",+C144+1)</f>
        <v>2064</v>
      </c>
      <c r="D145" s="350">
        <f>IF(F144+SUM(E$100:E144)=D$93,F144,D$93-SUM(E$100:E144))</f>
        <v>0</v>
      </c>
      <c r="E145" s="510">
        <f t="shared" si="15"/>
        <v>0</v>
      </c>
      <c r="F145" s="511">
        <f t="shared" si="16"/>
        <v>0</v>
      </c>
      <c r="G145" s="511">
        <f t="shared" si="17"/>
        <v>0</v>
      </c>
      <c r="H145" s="628">
        <f t="shared" si="10"/>
        <v>0</v>
      </c>
      <c r="I145" s="629">
        <f t="shared" si="18"/>
        <v>0</v>
      </c>
      <c r="J145" s="505">
        <f t="shared" si="22"/>
        <v>0</v>
      </c>
      <c r="K145" s="505"/>
      <c r="L145" s="513"/>
      <c r="M145" s="505">
        <f t="shared" si="23"/>
        <v>0</v>
      </c>
      <c r="N145" s="513"/>
      <c r="O145" s="505">
        <f t="shared" si="24"/>
        <v>0</v>
      </c>
      <c r="P145" s="505">
        <f t="shared" si="25"/>
        <v>0</v>
      </c>
    </row>
    <row r="146" spans="2:16" ht="12.5">
      <c r="B146" s="145" t="str">
        <f t="shared" si="9"/>
        <v/>
      </c>
      <c r="C146" s="496">
        <f>IF(D94="","-",+C145+1)</f>
        <v>2065</v>
      </c>
      <c r="D146" s="350">
        <f>IF(F145+SUM(E$100:E145)=D$93,F145,D$93-SUM(E$100:E145))</f>
        <v>0</v>
      </c>
      <c r="E146" s="510">
        <f t="shared" si="15"/>
        <v>0</v>
      </c>
      <c r="F146" s="511">
        <f t="shared" si="16"/>
        <v>0</v>
      </c>
      <c r="G146" s="511">
        <f t="shared" si="17"/>
        <v>0</v>
      </c>
      <c r="H146" s="628">
        <f t="shared" si="10"/>
        <v>0</v>
      </c>
      <c r="I146" s="629">
        <f t="shared" si="18"/>
        <v>0</v>
      </c>
      <c r="J146" s="505">
        <f t="shared" si="22"/>
        <v>0</v>
      </c>
      <c r="K146" s="505"/>
      <c r="L146" s="513"/>
      <c r="M146" s="505">
        <f t="shared" si="23"/>
        <v>0</v>
      </c>
      <c r="N146" s="513"/>
      <c r="O146" s="505">
        <f t="shared" si="24"/>
        <v>0</v>
      </c>
      <c r="P146" s="505">
        <f t="shared" si="25"/>
        <v>0</v>
      </c>
    </row>
    <row r="147" spans="2:16" ht="12.5">
      <c r="B147" s="145" t="str">
        <f t="shared" si="9"/>
        <v/>
      </c>
      <c r="C147" s="496">
        <f>IF(D94="","-",+C146+1)</f>
        <v>2066</v>
      </c>
      <c r="D147" s="350">
        <f>IF(F146+SUM(E$100:E146)=D$93,F146,D$93-SUM(E$100:E146))</f>
        <v>0</v>
      </c>
      <c r="E147" s="510">
        <f t="shared" si="15"/>
        <v>0</v>
      </c>
      <c r="F147" s="511">
        <f t="shared" si="16"/>
        <v>0</v>
      </c>
      <c r="G147" s="511">
        <f t="shared" si="17"/>
        <v>0</v>
      </c>
      <c r="H147" s="628">
        <f t="shared" si="10"/>
        <v>0</v>
      </c>
      <c r="I147" s="629">
        <f t="shared" si="18"/>
        <v>0</v>
      </c>
      <c r="J147" s="505">
        <f t="shared" si="22"/>
        <v>0</v>
      </c>
      <c r="K147" s="505"/>
      <c r="L147" s="513"/>
      <c r="M147" s="505">
        <f t="shared" si="23"/>
        <v>0</v>
      </c>
      <c r="N147" s="513"/>
      <c r="O147" s="505">
        <f t="shared" si="24"/>
        <v>0</v>
      </c>
      <c r="P147" s="505">
        <f t="shared" si="25"/>
        <v>0</v>
      </c>
    </row>
    <row r="148" spans="2:16" ht="12.5">
      <c r="B148" s="145" t="str">
        <f t="shared" si="9"/>
        <v/>
      </c>
      <c r="C148" s="496">
        <f>IF(D94="","-",+C147+1)</f>
        <v>2067</v>
      </c>
      <c r="D148" s="350">
        <f>IF(F147+SUM(E$100:E147)=D$93,F147,D$93-SUM(E$100:E147))</f>
        <v>0</v>
      </c>
      <c r="E148" s="510">
        <f t="shared" si="15"/>
        <v>0</v>
      </c>
      <c r="F148" s="511">
        <f t="shared" si="16"/>
        <v>0</v>
      </c>
      <c r="G148" s="511">
        <f t="shared" si="17"/>
        <v>0</v>
      </c>
      <c r="H148" s="628">
        <f t="shared" si="10"/>
        <v>0</v>
      </c>
      <c r="I148" s="629">
        <f t="shared" si="18"/>
        <v>0</v>
      </c>
      <c r="J148" s="505">
        <f t="shared" si="22"/>
        <v>0</v>
      </c>
      <c r="K148" s="505"/>
      <c r="L148" s="513"/>
      <c r="M148" s="505">
        <f t="shared" si="23"/>
        <v>0</v>
      </c>
      <c r="N148" s="513"/>
      <c r="O148" s="505">
        <f t="shared" si="24"/>
        <v>0</v>
      </c>
      <c r="P148" s="505">
        <f t="shared" si="25"/>
        <v>0</v>
      </c>
    </row>
    <row r="149" spans="2:16" ht="12.5">
      <c r="B149" s="145" t="str">
        <f t="shared" si="9"/>
        <v/>
      </c>
      <c r="C149" s="496">
        <f>IF(D94="","-",+C148+1)</f>
        <v>2068</v>
      </c>
      <c r="D149" s="350">
        <f>IF(F148+SUM(E$100:E148)=D$93,F148,D$93-SUM(E$100:E148))</f>
        <v>0</v>
      </c>
      <c r="E149" s="510">
        <f t="shared" si="15"/>
        <v>0</v>
      </c>
      <c r="F149" s="511">
        <f t="shared" si="16"/>
        <v>0</v>
      </c>
      <c r="G149" s="511">
        <f t="shared" si="17"/>
        <v>0</v>
      </c>
      <c r="H149" s="628">
        <f t="shared" si="10"/>
        <v>0</v>
      </c>
      <c r="I149" s="629">
        <f t="shared" si="18"/>
        <v>0</v>
      </c>
      <c r="J149" s="505">
        <f t="shared" si="22"/>
        <v>0</v>
      </c>
      <c r="K149" s="505"/>
      <c r="L149" s="513"/>
      <c r="M149" s="505">
        <f t="shared" si="23"/>
        <v>0</v>
      </c>
      <c r="N149" s="513"/>
      <c r="O149" s="505">
        <f t="shared" si="24"/>
        <v>0</v>
      </c>
      <c r="P149" s="505">
        <f t="shared" si="25"/>
        <v>0</v>
      </c>
    </row>
    <row r="150" spans="2:16" ht="12.5">
      <c r="B150" s="145" t="str">
        <f t="shared" si="9"/>
        <v/>
      </c>
      <c r="C150" s="496">
        <f>IF(D94="","-",+C149+1)</f>
        <v>2069</v>
      </c>
      <c r="D150" s="350">
        <f>IF(F149+SUM(E$100:E149)=D$93,F149,D$93-SUM(E$100:E149))</f>
        <v>0</v>
      </c>
      <c r="E150" s="510">
        <f t="shared" si="15"/>
        <v>0</v>
      </c>
      <c r="F150" s="511">
        <f t="shared" si="16"/>
        <v>0</v>
      </c>
      <c r="G150" s="511">
        <f t="shared" si="17"/>
        <v>0</v>
      </c>
      <c r="H150" s="628">
        <f t="shared" si="10"/>
        <v>0</v>
      </c>
      <c r="I150" s="629">
        <f t="shared" si="18"/>
        <v>0</v>
      </c>
      <c r="J150" s="505">
        <f t="shared" si="22"/>
        <v>0</v>
      </c>
      <c r="K150" s="505"/>
      <c r="L150" s="513"/>
      <c r="M150" s="505">
        <f t="shared" si="23"/>
        <v>0</v>
      </c>
      <c r="N150" s="513"/>
      <c r="O150" s="505">
        <f t="shared" si="24"/>
        <v>0</v>
      </c>
      <c r="P150" s="505">
        <f t="shared" si="25"/>
        <v>0</v>
      </c>
    </row>
    <row r="151" spans="2:16" ht="12.5">
      <c r="B151" s="145" t="str">
        <f t="shared" si="9"/>
        <v/>
      </c>
      <c r="C151" s="496">
        <f>IF(D94="","-",+C150+1)</f>
        <v>2070</v>
      </c>
      <c r="D151" s="350">
        <f>IF(F150+SUM(E$100:E150)=D$93,F150,D$93-SUM(E$100:E150))</f>
        <v>0</v>
      </c>
      <c r="E151" s="510">
        <f t="shared" si="15"/>
        <v>0</v>
      </c>
      <c r="F151" s="511">
        <f t="shared" si="16"/>
        <v>0</v>
      </c>
      <c r="G151" s="511">
        <f t="shared" si="17"/>
        <v>0</v>
      </c>
      <c r="H151" s="628">
        <f t="shared" si="10"/>
        <v>0</v>
      </c>
      <c r="I151" s="629">
        <f t="shared" si="18"/>
        <v>0</v>
      </c>
      <c r="J151" s="505">
        <f t="shared" si="22"/>
        <v>0</v>
      </c>
      <c r="K151" s="505"/>
      <c r="L151" s="513"/>
      <c r="M151" s="505">
        <f t="shared" si="23"/>
        <v>0</v>
      </c>
      <c r="N151" s="513"/>
      <c r="O151" s="505">
        <f t="shared" si="24"/>
        <v>0</v>
      </c>
      <c r="P151" s="505">
        <f t="shared" si="25"/>
        <v>0</v>
      </c>
    </row>
    <row r="152" spans="2:16" ht="12.5">
      <c r="B152" s="145" t="str">
        <f t="shared" si="9"/>
        <v/>
      </c>
      <c r="C152" s="496">
        <f>IF(D94="","-",+C151+1)</f>
        <v>2071</v>
      </c>
      <c r="D152" s="350">
        <f>IF(F151+SUM(E$100:E151)=D$93,F151,D$93-SUM(E$100:E151))</f>
        <v>0</v>
      </c>
      <c r="E152" s="510">
        <f t="shared" si="15"/>
        <v>0</v>
      </c>
      <c r="F152" s="511">
        <f t="shared" si="16"/>
        <v>0</v>
      </c>
      <c r="G152" s="511">
        <f t="shared" si="17"/>
        <v>0</v>
      </c>
      <c r="H152" s="628">
        <f t="shared" si="10"/>
        <v>0</v>
      </c>
      <c r="I152" s="629">
        <f t="shared" si="18"/>
        <v>0</v>
      </c>
      <c r="J152" s="505">
        <f t="shared" si="22"/>
        <v>0</v>
      </c>
      <c r="K152" s="505"/>
      <c r="L152" s="513"/>
      <c r="M152" s="505">
        <f t="shared" si="23"/>
        <v>0</v>
      </c>
      <c r="N152" s="513"/>
      <c r="O152" s="505">
        <f t="shared" si="24"/>
        <v>0</v>
      </c>
      <c r="P152" s="505">
        <f t="shared" si="25"/>
        <v>0</v>
      </c>
    </row>
    <row r="153" spans="2:16" ht="12.5">
      <c r="B153" s="145" t="str">
        <f t="shared" si="9"/>
        <v/>
      </c>
      <c r="C153" s="496">
        <f>IF(D94="","-",+C152+1)</f>
        <v>2072</v>
      </c>
      <c r="D153" s="350">
        <f>IF(F152+SUM(E$100:E152)=D$93,F152,D$93-SUM(E$100:E152))</f>
        <v>0</v>
      </c>
      <c r="E153" s="510">
        <f t="shared" si="15"/>
        <v>0</v>
      </c>
      <c r="F153" s="511">
        <f t="shared" si="16"/>
        <v>0</v>
      </c>
      <c r="G153" s="511">
        <f t="shared" si="17"/>
        <v>0</v>
      </c>
      <c r="H153" s="628">
        <f t="shared" si="10"/>
        <v>0</v>
      </c>
      <c r="I153" s="629">
        <f t="shared" si="18"/>
        <v>0</v>
      </c>
      <c r="J153" s="505">
        <f t="shared" si="22"/>
        <v>0</v>
      </c>
      <c r="K153" s="505"/>
      <c r="L153" s="513"/>
      <c r="M153" s="505">
        <f t="shared" si="23"/>
        <v>0</v>
      </c>
      <c r="N153" s="513"/>
      <c r="O153" s="505">
        <f t="shared" si="24"/>
        <v>0</v>
      </c>
      <c r="P153" s="505">
        <f t="shared" si="25"/>
        <v>0</v>
      </c>
    </row>
    <row r="154" spans="2:16" ht="12.5">
      <c r="B154" s="145" t="str">
        <f t="shared" si="9"/>
        <v/>
      </c>
      <c r="C154" s="496">
        <f>IF(D94="","-",+C153+1)</f>
        <v>2073</v>
      </c>
      <c r="D154" s="350">
        <f>IF(F153+SUM(E$100:E153)=D$93,F153,D$93-SUM(E$100:E153))</f>
        <v>0</v>
      </c>
      <c r="E154" s="510">
        <f t="shared" si="15"/>
        <v>0</v>
      </c>
      <c r="F154" s="511">
        <f t="shared" si="16"/>
        <v>0</v>
      </c>
      <c r="G154" s="511">
        <f t="shared" si="17"/>
        <v>0</v>
      </c>
      <c r="H154" s="628">
        <f t="shared" si="10"/>
        <v>0</v>
      </c>
      <c r="I154" s="629">
        <f t="shared" si="18"/>
        <v>0</v>
      </c>
      <c r="J154" s="505">
        <f t="shared" si="22"/>
        <v>0</v>
      </c>
      <c r="K154" s="505"/>
      <c r="L154" s="513"/>
      <c r="M154" s="505">
        <f t="shared" si="23"/>
        <v>0</v>
      </c>
      <c r="N154" s="513"/>
      <c r="O154" s="505">
        <f t="shared" si="24"/>
        <v>0</v>
      </c>
      <c r="P154" s="505">
        <f t="shared" si="25"/>
        <v>0</v>
      </c>
    </row>
    <row r="155" spans="2:16" ht="13" thickBot="1">
      <c r="B155" s="145" t="str">
        <f t="shared" si="9"/>
        <v/>
      </c>
      <c r="C155" s="525">
        <f>IF(D94="","-",+C154+1)</f>
        <v>2074</v>
      </c>
      <c r="D155" s="639">
        <f>IF(F154+SUM(E$100:E154)=D$93,F154,D$93-SUM(E$100:E154))</f>
        <v>0</v>
      </c>
      <c r="E155" s="527">
        <f t="shared" si="15"/>
        <v>0</v>
      </c>
      <c r="F155" s="528">
        <f t="shared" si="16"/>
        <v>0</v>
      </c>
      <c r="G155" s="528">
        <f t="shared" si="17"/>
        <v>0</v>
      </c>
      <c r="H155" s="624">
        <f t="shared" si="10"/>
        <v>0</v>
      </c>
      <c r="I155" s="625">
        <f t="shared" si="18"/>
        <v>0</v>
      </c>
      <c r="J155" s="532">
        <f t="shared" si="22"/>
        <v>0</v>
      </c>
      <c r="K155" s="505"/>
      <c r="L155" s="531"/>
      <c r="M155" s="532">
        <f t="shared" si="23"/>
        <v>0</v>
      </c>
      <c r="N155" s="531"/>
      <c r="O155" s="532">
        <f t="shared" si="24"/>
        <v>0</v>
      </c>
      <c r="P155" s="532">
        <f t="shared" si="25"/>
        <v>0</v>
      </c>
    </row>
    <row r="156" spans="2:16" ht="12.5">
      <c r="C156" s="350" t="s">
        <v>75</v>
      </c>
      <c r="D156" s="295"/>
      <c r="E156" s="295">
        <f>SUM(E100:E155)</f>
        <v>17124157</v>
      </c>
      <c r="F156" s="295"/>
      <c r="G156" s="295"/>
      <c r="H156" s="295">
        <f>SUM(H100:H155)</f>
        <v>47642011.546328679</v>
      </c>
      <c r="I156" s="295">
        <f>SUM(I100:I155)</f>
        <v>47642011.546328679</v>
      </c>
      <c r="J156" s="295">
        <f>SUM(J100:J155)</f>
        <v>0</v>
      </c>
      <c r="K156" s="295"/>
      <c r="L156" s="295"/>
      <c r="M156" s="295"/>
      <c r="N156" s="295"/>
      <c r="O156" s="295"/>
      <c r="P156" s="244"/>
    </row>
    <row r="157" spans="2:16" ht="12.5">
      <c r="C157" s="145" t="s">
        <v>90</v>
      </c>
      <c r="D157" s="293"/>
      <c r="E157" s="244"/>
      <c r="F157" s="244"/>
      <c r="G157" s="244"/>
      <c r="H157" s="244"/>
      <c r="I157" s="326"/>
      <c r="J157" s="326"/>
      <c r="K157" s="295"/>
      <c r="L157" s="326"/>
      <c r="M157" s="326"/>
      <c r="N157" s="326"/>
      <c r="O157" s="326"/>
      <c r="P157" s="244"/>
    </row>
    <row r="158" spans="2:16" ht="12.5">
      <c r="C158" s="575"/>
      <c r="D158" s="293"/>
      <c r="E158" s="244"/>
      <c r="F158" s="244"/>
      <c r="G158" s="244"/>
      <c r="H158" s="244"/>
      <c r="I158" s="326"/>
      <c r="J158" s="326"/>
      <c r="K158" s="295"/>
      <c r="L158" s="326"/>
      <c r="M158" s="326"/>
      <c r="N158" s="326"/>
      <c r="O158" s="326"/>
      <c r="P158" s="244"/>
    </row>
    <row r="159" spans="2:16" ht="13">
      <c r="C159" s="620" t="s">
        <v>130</v>
      </c>
      <c r="D159" s="293"/>
      <c r="E159" s="244"/>
      <c r="F159" s="244"/>
      <c r="G159" s="244"/>
      <c r="H159" s="244"/>
      <c r="I159" s="326"/>
      <c r="J159" s="326"/>
      <c r="K159" s="295"/>
      <c r="L159" s="326"/>
      <c r="M159" s="326"/>
      <c r="N159" s="326"/>
      <c r="O159" s="326"/>
      <c r="P159" s="244"/>
    </row>
    <row r="160" spans="2:16" ht="13">
      <c r="C160" s="455" t="s">
        <v>76</v>
      </c>
      <c r="D160" s="350"/>
      <c r="E160" s="350"/>
      <c r="F160" s="350"/>
      <c r="G160" s="350"/>
      <c r="H160" s="295"/>
      <c r="I160" s="295"/>
      <c r="J160" s="351"/>
      <c r="K160" s="351"/>
      <c r="L160" s="351"/>
      <c r="M160" s="351"/>
      <c r="N160" s="351"/>
      <c r="O160" s="351"/>
      <c r="P160" s="244"/>
    </row>
    <row r="161" spans="3:16" ht="13">
      <c r="C161" s="576" t="s">
        <v>77</v>
      </c>
      <c r="D161" s="350"/>
      <c r="E161" s="350"/>
      <c r="F161" s="350"/>
      <c r="G161" s="350"/>
      <c r="H161" s="295"/>
      <c r="I161" s="295"/>
      <c r="J161" s="351"/>
      <c r="K161" s="351"/>
      <c r="L161" s="351"/>
      <c r="M161" s="351"/>
      <c r="N161" s="351"/>
      <c r="O161" s="351"/>
      <c r="P161" s="244"/>
    </row>
    <row r="162" spans="3:16" ht="13">
      <c r="C162" s="576"/>
      <c r="D162" s="350"/>
      <c r="E162" s="350"/>
      <c r="F162" s="350"/>
      <c r="G162" s="350"/>
      <c r="H162" s="295"/>
      <c r="I162" s="295"/>
      <c r="J162" s="351"/>
      <c r="K162" s="351"/>
      <c r="L162" s="351"/>
      <c r="M162" s="351"/>
      <c r="N162" s="351"/>
      <c r="O162" s="351"/>
      <c r="P162" s="244"/>
    </row>
    <row r="163" spans="3:16" ht="17.5">
      <c r="C163" s="576"/>
      <c r="D163" s="350"/>
      <c r="E163" s="350"/>
      <c r="F163" s="350"/>
      <c r="G163" s="350"/>
      <c r="H163" s="295"/>
      <c r="I163" s="295"/>
      <c r="J163" s="351"/>
      <c r="K163" s="351"/>
      <c r="L163" s="351"/>
      <c r="M163" s="351"/>
      <c r="N163" s="351"/>
      <c r="P163" s="584" t="s">
        <v>129</v>
      </c>
    </row>
  </sheetData>
  <conditionalFormatting sqref="C17:C71 C73">
    <cfRule type="cellIs" dxfId="5" priority="2" stopIfTrue="1" operator="equal">
      <formula>$I$10</formula>
    </cfRule>
  </conditionalFormatting>
  <conditionalFormatting sqref="C100:C155">
    <cfRule type="cellIs" dxfId="4" priority="3" stopIfTrue="1" operator="equal">
      <formula>$J$93</formula>
    </cfRule>
  </conditionalFormatting>
  <conditionalFormatting sqref="C72">
    <cfRule type="cellIs" dxfId="3" priority="1" stopIfTrue="1" operator="equal">
      <formula>$I$10</formula>
    </cfRule>
  </conditionalFormatting>
  <pageMargins left="0.5" right="0.25" top="1" bottom="0.25" header="0.25" footer="0.5"/>
  <pageSetup scale="47" orientation="landscape" r:id="rId1"/>
  <headerFooter>
    <oddHeader xml:space="preserve">&amp;R&amp;16AEPTCo - SPP Formula Rate
&amp;A TCOS - Worksheets F and G
Section IV -- (BPU Project Tables)
Page: &amp;P of &amp;N&amp;10
</oddHeader>
    <oddFooter>&amp;L&amp;A</oddFooter>
  </headerFooter>
  <rowBreaks count="1" manualBreakCount="1">
    <brk id="81"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P163"/>
  <sheetViews>
    <sheetView topLeftCell="D76" zoomScaleNormal="100" workbookViewId="0">
      <selection activeCell="M88" sqref="M88"/>
    </sheetView>
  </sheetViews>
  <sheetFormatPr defaultRowHeight="12.75" customHeight="1"/>
  <cols>
    <col min="1" max="1" width="4.7265625" customWidth="1"/>
    <col min="2" max="2" width="6.7265625" customWidth="1"/>
    <col min="3" max="3" width="23.26953125" customWidth="1"/>
    <col min="4" max="8" width="17.7265625" customWidth="1"/>
    <col min="9" max="9" width="20.453125" customWidth="1"/>
    <col min="10" max="10" width="16.453125" customWidth="1"/>
    <col min="11" max="11" width="17.7265625" customWidth="1"/>
    <col min="12" max="12" width="16.1796875" customWidth="1"/>
    <col min="13" max="13" width="17.7265625" customWidth="1"/>
    <col min="14" max="14" width="16.7265625" customWidth="1"/>
    <col min="15" max="15" width="16.81640625" customWidth="1"/>
    <col min="16" max="16" width="24.453125" customWidth="1"/>
    <col min="17" max="17" width="9.1796875" customWidth="1"/>
    <col min="23" max="23" width="9.1796875" customWidth="1"/>
  </cols>
  <sheetData>
    <row r="1" spans="1:16" ht="20">
      <c r="A1" s="110" t="s">
        <v>189</v>
      </c>
      <c r="B1" s="1"/>
      <c r="C1" s="9"/>
      <c r="D1" s="2"/>
      <c r="E1" s="1"/>
      <c r="F1" s="14"/>
      <c r="G1" s="1"/>
      <c r="H1" s="3"/>
      <c r="J1" s="7"/>
      <c r="K1" s="18"/>
      <c r="L1" s="18"/>
      <c r="M1" s="18"/>
      <c r="P1" s="116" t="str">
        <f ca="1">"OKT Project "&amp;RIGHT(MID(CELL("filename",$A$1),FIND("]",CELL("filename",$A$1))+1,256),2)&amp;" of "&amp;COUNT('OKT.001:OKT.xyz - blank'!$P$3)-1</f>
        <v>OKT Project nk of 19</v>
      </c>
    </row>
    <row r="2" spans="1:16" ht="17.5">
      <c r="B2" s="1"/>
      <c r="C2" s="1"/>
      <c r="D2" s="2"/>
      <c r="E2" s="1"/>
      <c r="F2" s="1"/>
      <c r="G2" s="1"/>
      <c r="H2" s="3"/>
      <c r="I2" s="1"/>
      <c r="J2" s="4"/>
      <c r="K2" s="1"/>
      <c r="L2" s="1"/>
      <c r="M2" s="1"/>
      <c r="N2" s="1"/>
      <c r="P2" s="117" t="s">
        <v>131</v>
      </c>
    </row>
    <row r="3" spans="1:16" ht="18">
      <c r="B3" s="5" t="s">
        <v>42</v>
      </c>
      <c r="C3" s="13" t="s">
        <v>43</v>
      </c>
      <c r="D3" s="2"/>
      <c r="E3" s="1"/>
      <c r="F3" s="1"/>
      <c r="G3" s="1"/>
      <c r="H3" s="3"/>
      <c r="I3" s="3"/>
      <c r="J3" s="19"/>
      <c r="K3" s="3"/>
      <c r="L3" s="3"/>
      <c r="M3" s="3"/>
      <c r="N3" s="3"/>
      <c r="O3" s="1"/>
      <c r="P3" s="108">
        <v>1</v>
      </c>
    </row>
    <row r="4" spans="1:16" ht="16" thickBot="1">
      <c r="C4" s="12"/>
      <c r="D4" s="2"/>
      <c r="E4" s="1"/>
      <c r="F4" s="1"/>
      <c r="G4" s="1"/>
      <c r="H4" s="3"/>
      <c r="I4" s="3"/>
      <c r="J4" s="19"/>
      <c r="K4" s="3"/>
      <c r="L4" s="3"/>
      <c r="M4" s="3"/>
      <c r="N4" s="3"/>
      <c r="O4" s="1"/>
      <c r="P4" s="1"/>
    </row>
    <row r="5" spans="1:16" ht="15.5">
      <c r="C5" s="20" t="s">
        <v>44</v>
      </c>
      <c r="D5" s="2"/>
      <c r="E5" s="1"/>
      <c r="F5" s="1"/>
      <c r="G5" s="21"/>
      <c r="H5" s="1" t="s">
        <v>45</v>
      </c>
      <c r="I5" s="1"/>
      <c r="J5" s="4"/>
      <c r="K5" s="22" t="s">
        <v>242</v>
      </c>
      <c r="L5" s="23"/>
      <c r="M5" s="24"/>
      <c r="N5" s="25">
        <f>VLOOKUP(I10,C17:I73,5)</f>
        <v>0</v>
      </c>
      <c r="P5" s="1"/>
    </row>
    <row r="6" spans="1:16" ht="15.5">
      <c r="C6" s="8"/>
      <c r="D6" s="2"/>
      <c r="E6" s="1"/>
      <c r="F6" s="1"/>
      <c r="G6" s="1"/>
      <c r="H6" s="26"/>
      <c r="I6" s="26"/>
      <c r="J6" s="27"/>
      <c r="K6" s="28" t="s">
        <v>243</v>
      </c>
      <c r="L6" s="29"/>
      <c r="M6" s="4"/>
      <c r="N6" s="30">
        <f>VLOOKUP(I10,C17:I73,6)</f>
        <v>0</v>
      </c>
      <c r="O6" s="1"/>
      <c r="P6" s="1"/>
    </row>
    <row r="7" spans="1:16" ht="13.5" thickBot="1">
      <c r="C7" s="31" t="s">
        <v>46</v>
      </c>
      <c r="D7" s="104" t="s">
        <v>245</v>
      </c>
      <c r="E7" s="1"/>
      <c r="F7" s="1"/>
      <c r="G7" s="1"/>
      <c r="H7" s="3"/>
      <c r="I7" s="3"/>
      <c r="J7" s="19"/>
      <c r="K7" s="32" t="s">
        <v>47</v>
      </c>
      <c r="L7" s="33"/>
      <c r="M7" s="33"/>
      <c r="N7" s="34">
        <f>+N6-N5</f>
        <v>0</v>
      </c>
      <c r="O7" s="1"/>
      <c r="P7" s="1"/>
    </row>
    <row r="8" spans="1:16" ht="13.5" thickBot="1">
      <c r="C8" s="35"/>
      <c r="D8" s="114" t="str">
        <f>IF(D10&lt;100000,"DOES NOT MEET SPP $100,000 MINIMUM INVESTMENT FOR REGIONAL BPU SHARING.","")</f>
        <v>DOES NOT MEET SPP $100,000 MINIMUM INVESTMENT FOR REGIONAL BPU SHARING.</v>
      </c>
      <c r="E8" s="36"/>
      <c r="F8" s="36"/>
      <c r="G8" s="36"/>
      <c r="H8" s="36"/>
      <c r="I8" s="36"/>
      <c r="J8" s="15"/>
      <c r="K8" s="36"/>
      <c r="L8" s="36"/>
      <c r="M8" s="36"/>
      <c r="N8" s="36"/>
      <c r="O8" s="15"/>
      <c r="P8" s="9"/>
    </row>
    <row r="9" spans="1:16" ht="13.5" thickBot="1">
      <c r="C9" s="37" t="s">
        <v>48</v>
      </c>
      <c r="D9" s="106" t="s">
        <v>78</v>
      </c>
      <c r="E9" s="38"/>
      <c r="F9" s="38"/>
      <c r="G9" s="38"/>
      <c r="H9" s="38"/>
      <c r="I9" s="39"/>
      <c r="J9" s="40"/>
      <c r="O9" s="41"/>
      <c r="P9" s="4"/>
    </row>
    <row r="10" spans="1:16" ht="13">
      <c r="C10" s="42" t="s">
        <v>49</v>
      </c>
      <c r="D10" s="43">
        <v>0</v>
      </c>
      <c r="E10" s="11" t="s">
        <v>50</v>
      </c>
      <c r="F10" s="41"/>
      <c r="G10" s="44"/>
      <c r="H10" s="44"/>
      <c r="I10" s="45">
        <f>+OKT.WS.F.BPU.ATRR.Projected!R100</f>
        <v>2019</v>
      </c>
      <c r="J10" s="40"/>
      <c r="K10" s="19" t="s">
        <v>51</v>
      </c>
      <c r="O10" s="4"/>
      <c r="P10" s="4"/>
    </row>
    <row r="11" spans="1:16" ht="12.5">
      <c r="C11" s="46" t="s">
        <v>52</v>
      </c>
      <c r="D11" s="47">
        <v>2018</v>
      </c>
      <c r="E11" s="46" t="s">
        <v>53</v>
      </c>
      <c r="F11" s="44"/>
      <c r="G11" s="7"/>
      <c r="H11" s="7"/>
      <c r="I11" s="48">
        <f>IF(G5="",0,OKT.WS.F.BPU.ATRR.Projected!F$13)</f>
        <v>0</v>
      </c>
      <c r="J11" s="49"/>
      <c r="K11" t="str">
        <f>"          INPUT PROJECTED ARR (WITH &amp; WITHOUT INCENTIVES) FROM EACH PRIOR YEAR"</f>
        <v xml:space="preserve">          INPUT PROJECTED ARR (WITH &amp; WITHOUT INCENTIVES) FROM EACH PRIOR YEAR</v>
      </c>
      <c r="O11" s="4"/>
      <c r="P11" s="4"/>
    </row>
    <row r="12" spans="1:16" ht="12.5">
      <c r="C12" s="46" t="s">
        <v>54</v>
      </c>
      <c r="D12" s="43">
        <v>4</v>
      </c>
      <c r="E12" s="46" t="s">
        <v>55</v>
      </c>
      <c r="F12" s="44"/>
      <c r="G12" s="7"/>
      <c r="H12" s="7"/>
      <c r="I12" s="50">
        <f>OKT.WS.F.BPU.ATRR.Projected!$F$78</f>
        <v>0.11749102697326873</v>
      </c>
      <c r="J12" s="51"/>
      <c r="K12" t="s">
        <v>56</v>
      </c>
      <c r="O12" s="4"/>
      <c r="P12" s="4"/>
    </row>
    <row r="13" spans="1:16" ht="12.5">
      <c r="C13" s="46" t="s">
        <v>57</v>
      </c>
      <c r="D13" s="48">
        <f>+OKT.WS.F.BPU.ATRR.Projected!F$89</f>
        <v>41</v>
      </c>
      <c r="E13" s="46" t="s">
        <v>58</v>
      </c>
      <c r="F13" s="44"/>
      <c r="G13" s="7"/>
      <c r="H13" s="7"/>
      <c r="I13" s="50">
        <f>IF(G5="",I12,OKT.WS.F.BPU.ATRR.Projected!$F$77)</f>
        <v>0.11749102697326873</v>
      </c>
      <c r="J13" s="51"/>
      <c r="K13" s="19" t="s">
        <v>59</v>
      </c>
      <c r="L13" s="10"/>
      <c r="M13" s="10"/>
      <c r="N13" s="10"/>
      <c r="O13" s="4"/>
      <c r="P13" s="4"/>
    </row>
    <row r="14" spans="1:16" ht="13" thickBot="1">
      <c r="C14" s="46" t="s">
        <v>60</v>
      </c>
      <c r="D14" s="47" t="s">
        <v>61</v>
      </c>
      <c r="E14" s="4" t="s">
        <v>62</v>
      </c>
      <c r="F14" s="44"/>
      <c r="G14" s="7"/>
      <c r="H14" s="7"/>
      <c r="I14" s="52">
        <f>IF(D10=0,0,D10/D13)</f>
        <v>0</v>
      </c>
      <c r="J14" s="19"/>
      <c r="K14" s="19"/>
      <c r="L14" s="19"/>
      <c r="M14" s="19"/>
      <c r="N14" s="19"/>
      <c r="O14" s="4"/>
      <c r="P14" s="4"/>
    </row>
    <row r="15" spans="1:16" ht="39">
      <c r="C15" s="53" t="s">
        <v>49</v>
      </c>
      <c r="D15" s="133" t="s">
        <v>193</v>
      </c>
      <c r="E15" s="54" t="s">
        <v>63</v>
      </c>
      <c r="F15" s="54" t="s">
        <v>64</v>
      </c>
      <c r="G15" s="143" t="s">
        <v>251</v>
      </c>
      <c r="H15" s="144" t="s">
        <v>252</v>
      </c>
      <c r="I15" s="53" t="s">
        <v>65</v>
      </c>
      <c r="J15" s="55"/>
      <c r="K15" s="133" t="s">
        <v>176</v>
      </c>
      <c r="L15" s="134" t="s">
        <v>66</v>
      </c>
      <c r="M15" s="133" t="s">
        <v>176</v>
      </c>
      <c r="N15" s="134" t="s">
        <v>66</v>
      </c>
      <c r="O15" s="56" t="s">
        <v>67</v>
      </c>
      <c r="P15" s="4"/>
    </row>
    <row r="16" spans="1:16" ht="13.5" thickBot="1">
      <c r="C16" s="57" t="s">
        <v>68</v>
      </c>
      <c r="D16" s="140" t="s">
        <v>69</v>
      </c>
      <c r="E16" s="57" t="s">
        <v>70</v>
      </c>
      <c r="F16" s="57" t="s">
        <v>69</v>
      </c>
      <c r="G16" s="142" t="s">
        <v>71</v>
      </c>
      <c r="H16" s="58" t="s">
        <v>72</v>
      </c>
      <c r="I16" s="59" t="s">
        <v>93</v>
      </c>
      <c r="J16" s="60" t="s">
        <v>73</v>
      </c>
      <c r="K16" s="61" t="s">
        <v>74</v>
      </c>
      <c r="L16" s="135" t="s">
        <v>74</v>
      </c>
      <c r="M16" s="61" t="s">
        <v>94</v>
      </c>
      <c r="N16" s="136" t="s">
        <v>94</v>
      </c>
      <c r="O16" s="61" t="s">
        <v>94</v>
      </c>
      <c r="P16" s="4"/>
    </row>
    <row r="17" spans="2:16" ht="12.5">
      <c r="B17" t="str">
        <f t="shared" ref="B17:B71" si="0">IF(D17=F16,"","IU")</f>
        <v>IU</v>
      </c>
      <c r="C17" s="62">
        <f>IF(D11= "","-",D11)</f>
        <v>2018</v>
      </c>
      <c r="D17" s="63">
        <v>0</v>
      </c>
      <c r="E17" s="64">
        <f>IF(D10&gt;=100000,I$14/12*(12-D12),0)</f>
        <v>0</v>
      </c>
      <c r="F17" s="68">
        <f>IF(D11=C17,+D10-E17,+D17-E17)</f>
        <v>0</v>
      </c>
      <c r="G17" s="64">
        <f>(D17+F17)/2*I$12+E17</f>
        <v>0</v>
      </c>
      <c r="H17" s="52">
        <f>+(D17+F17)/2*I$13+E17</f>
        <v>0</v>
      </c>
      <c r="I17" s="65">
        <f t="shared" ref="I17:I48" si="1">H17-G17</f>
        <v>0</v>
      </c>
      <c r="J17" s="65"/>
      <c r="K17" s="132"/>
      <c r="L17" s="66">
        <f t="shared" ref="L17:L48" si="2">IF(K17&lt;&gt;0,+G17-K17,0)</f>
        <v>0</v>
      </c>
      <c r="M17" s="132"/>
      <c r="N17" s="66">
        <f t="shared" ref="N17:N48" si="3">IF(M17&lt;&gt;0,+H17-M17,0)</f>
        <v>0</v>
      </c>
      <c r="O17" s="67">
        <f t="shared" ref="O17:O48" si="4">+N17-L17</f>
        <v>0</v>
      </c>
      <c r="P17" s="4"/>
    </row>
    <row r="18" spans="2:16" ht="12.5">
      <c r="B18" t="str">
        <f t="shared" si="0"/>
        <v/>
      </c>
      <c r="C18" s="62">
        <f>IF(D11="","-",+C17+1)</f>
        <v>2019</v>
      </c>
      <c r="D18" s="71">
        <f>IF(F17+SUM(E$17:E17)=D$10,F17,D$10-SUM(E$17:E17))</f>
        <v>0</v>
      </c>
      <c r="E18" s="69">
        <f t="shared" ref="E18:E49" si="5">IF(+I$14&lt;F17,I$14,D18)</f>
        <v>0</v>
      </c>
      <c r="F18" s="68">
        <f t="shared" ref="F18:F48" si="6">+D18-E18</f>
        <v>0</v>
      </c>
      <c r="G18" s="70">
        <f t="shared" ref="G18:G71" si="7">(D18+F18)/2*I$12+E18</f>
        <v>0</v>
      </c>
      <c r="H18" s="52">
        <f t="shared" ref="H18:H71" si="8">+(D18+F18)/2*I$13+E18</f>
        <v>0</v>
      </c>
      <c r="I18" s="65">
        <f t="shared" si="1"/>
        <v>0</v>
      </c>
      <c r="J18" s="65"/>
      <c r="K18" s="130"/>
      <c r="L18" s="67">
        <f t="shared" si="2"/>
        <v>0</v>
      </c>
      <c r="M18" s="130"/>
      <c r="N18" s="67">
        <f t="shared" si="3"/>
        <v>0</v>
      </c>
      <c r="O18" s="67">
        <f t="shared" si="4"/>
        <v>0</v>
      </c>
      <c r="P18" s="4"/>
    </row>
    <row r="19" spans="2:16" ht="12.5">
      <c r="B19" t="str">
        <f t="shared" si="0"/>
        <v/>
      </c>
      <c r="C19" s="62">
        <f>IF(D11="","-",+C18+1)</f>
        <v>2020</v>
      </c>
      <c r="D19" s="71">
        <f>IF(F18+SUM(E$17:E18)=D$10,F18,D$10-SUM(E$17:E18))</f>
        <v>0</v>
      </c>
      <c r="E19" s="69">
        <f t="shared" si="5"/>
        <v>0</v>
      </c>
      <c r="F19" s="68">
        <f t="shared" si="6"/>
        <v>0</v>
      </c>
      <c r="G19" s="70">
        <f t="shared" si="7"/>
        <v>0</v>
      </c>
      <c r="H19" s="52">
        <f t="shared" si="8"/>
        <v>0</v>
      </c>
      <c r="I19" s="65">
        <f t="shared" si="1"/>
        <v>0</v>
      </c>
      <c r="J19" s="65"/>
      <c r="K19" s="130"/>
      <c r="L19" s="67">
        <f t="shared" si="2"/>
        <v>0</v>
      </c>
      <c r="M19" s="130"/>
      <c r="N19" s="67">
        <f t="shared" si="3"/>
        <v>0</v>
      </c>
      <c r="O19" s="67">
        <f t="shared" si="4"/>
        <v>0</v>
      </c>
      <c r="P19" s="4"/>
    </row>
    <row r="20" spans="2:16" ht="12.5">
      <c r="B20" t="str">
        <f t="shared" si="0"/>
        <v/>
      </c>
      <c r="C20" s="62">
        <f>IF(D11="","-",+C19+1)</f>
        <v>2021</v>
      </c>
      <c r="D20" s="71">
        <f>IF(F19+SUM(E$17:E19)=D$10,F19,D$10-SUM(E$17:E19))</f>
        <v>0</v>
      </c>
      <c r="E20" s="69">
        <f t="shared" si="5"/>
        <v>0</v>
      </c>
      <c r="F20" s="68">
        <f t="shared" si="6"/>
        <v>0</v>
      </c>
      <c r="G20" s="70">
        <f t="shared" si="7"/>
        <v>0</v>
      </c>
      <c r="H20" s="52">
        <f t="shared" si="8"/>
        <v>0</v>
      </c>
      <c r="I20" s="65">
        <f t="shared" si="1"/>
        <v>0</v>
      </c>
      <c r="J20" s="65"/>
      <c r="K20" s="130"/>
      <c r="L20" s="67">
        <f t="shared" si="2"/>
        <v>0</v>
      </c>
      <c r="M20" s="130"/>
      <c r="N20" s="67">
        <f t="shared" si="3"/>
        <v>0</v>
      </c>
      <c r="O20" s="67">
        <f t="shared" si="4"/>
        <v>0</v>
      </c>
      <c r="P20" s="4"/>
    </row>
    <row r="21" spans="2:16" ht="12.5">
      <c r="B21" t="str">
        <f t="shared" si="0"/>
        <v/>
      </c>
      <c r="C21" s="62">
        <f>IF(D11="","-",+C20+1)</f>
        <v>2022</v>
      </c>
      <c r="D21" s="71">
        <f>IF(F20+SUM(E$17:E20)=D$10,F20,D$10-SUM(E$17:E20))</f>
        <v>0</v>
      </c>
      <c r="E21" s="69">
        <f t="shared" si="5"/>
        <v>0</v>
      </c>
      <c r="F21" s="68">
        <f t="shared" si="6"/>
        <v>0</v>
      </c>
      <c r="G21" s="70">
        <f t="shared" si="7"/>
        <v>0</v>
      </c>
      <c r="H21" s="52">
        <f t="shared" si="8"/>
        <v>0</v>
      </c>
      <c r="I21" s="65">
        <f t="shared" si="1"/>
        <v>0</v>
      </c>
      <c r="J21" s="65"/>
      <c r="K21" s="130"/>
      <c r="L21" s="67">
        <f t="shared" si="2"/>
        <v>0</v>
      </c>
      <c r="M21" s="130"/>
      <c r="N21" s="67">
        <f t="shared" si="3"/>
        <v>0</v>
      </c>
      <c r="O21" s="67">
        <f t="shared" si="4"/>
        <v>0</v>
      </c>
      <c r="P21" s="4"/>
    </row>
    <row r="22" spans="2:16" ht="12.5">
      <c r="B22" t="str">
        <f t="shared" si="0"/>
        <v/>
      </c>
      <c r="C22" s="62">
        <f>IF(D11="","-",+C21+1)</f>
        <v>2023</v>
      </c>
      <c r="D22" s="71">
        <f>IF(F21+SUM(E$17:E21)=D$10,F21,D$10-SUM(E$17:E21))</f>
        <v>0</v>
      </c>
      <c r="E22" s="69">
        <f t="shared" si="5"/>
        <v>0</v>
      </c>
      <c r="F22" s="68">
        <f t="shared" si="6"/>
        <v>0</v>
      </c>
      <c r="G22" s="70">
        <f t="shared" si="7"/>
        <v>0</v>
      </c>
      <c r="H22" s="52">
        <f t="shared" si="8"/>
        <v>0</v>
      </c>
      <c r="I22" s="65">
        <f t="shared" si="1"/>
        <v>0</v>
      </c>
      <c r="J22" s="65"/>
      <c r="K22" s="130"/>
      <c r="L22" s="67">
        <f t="shared" si="2"/>
        <v>0</v>
      </c>
      <c r="M22" s="130"/>
      <c r="N22" s="67">
        <f t="shared" si="3"/>
        <v>0</v>
      </c>
      <c r="O22" s="67">
        <f t="shared" si="4"/>
        <v>0</v>
      </c>
      <c r="P22" s="4"/>
    </row>
    <row r="23" spans="2:16" ht="12.5">
      <c r="B23" t="str">
        <f t="shared" si="0"/>
        <v/>
      </c>
      <c r="C23" s="62">
        <f>IF(D11="","-",+C22+1)</f>
        <v>2024</v>
      </c>
      <c r="D23" s="71">
        <f>IF(F22+SUM(E$17:E22)=D$10,F22,D$10-SUM(E$17:E22))</f>
        <v>0</v>
      </c>
      <c r="E23" s="69">
        <f t="shared" si="5"/>
        <v>0</v>
      </c>
      <c r="F23" s="68">
        <f t="shared" si="6"/>
        <v>0</v>
      </c>
      <c r="G23" s="70">
        <f t="shared" si="7"/>
        <v>0</v>
      </c>
      <c r="H23" s="52">
        <f t="shared" si="8"/>
        <v>0</v>
      </c>
      <c r="I23" s="65">
        <f t="shared" si="1"/>
        <v>0</v>
      </c>
      <c r="J23" s="65"/>
      <c r="K23" s="130"/>
      <c r="L23" s="67">
        <f t="shared" si="2"/>
        <v>0</v>
      </c>
      <c r="M23" s="130"/>
      <c r="N23" s="67">
        <f t="shared" si="3"/>
        <v>0</v>
      </c>
      <c r="O23" s="67">
        <f t="shared" si="4"/>
        <v>0</v>
      </c>
      <c r="P23" s="4"/>
    </row>
    <row r="24" spans="2:16" ht="12.5">
      <c r="B24" t="str">
        <f t="shared" si="0"/>
        <v/>
      </c>
      <c r="C24" s="62">
        <f>IF(D11="","-",+C23+1)</f>
        <v>2025</v>
      </c>
      <c r="D24" s="71">
        <f>IF(F23+SUM(E$17:E23)=D$10,F23,D$10-SUM(E$17:E23))</f>
        <v>0</v>
      </c>
      <c r="E24" s="69">
        <f t="shared" si="5"/>
        <v>0</v>
      </c>
      <c r="F24" s="68">
        <f t="shared" si="6"/>
        <v>0</v>
      </c>
      <c r="G24" s="70">
        <f t="shared" si="7"/>
        <v>0</v>
      </c>
      <c r="H24" s="52">
        <f t="shared" si="8"/>
        <v>0</v>
      </c>
      <c r="I24" s="65">
        <f t="shared" si="1"/>
        <v>0</v>
      </c>
      <c r="J24" s="65"/>
      <c r="K24" s="130"/>
      <c r="L24" s="67">
        <f t="shared" si="2"/>
        <v>0</v>
      </c>
      <c r="M24" s="130"/>
      <c r="N24" s="67">
        <f t="shared" si="3"/>
        <v>0</v>
      </c>
      <c r="O24" s="67">
        <f t="shared" si="4"/>
        <v>0</v>
      </c>
      <c r="P24" s="4"/>
    </row>
    <row r="25" spans="2:16" ht="12.5">
      <c r="B25" t="str">
        <f t="shared" si="0"/>
        <v/>
      </c>
      <c r="C25" s="62">
        <f>IF(D11="","-",+C24+1)</f>
        <v>2026</v>
      </c>
      <c r="D25" s="71">
        <f>IF(F24+SUM(E$17:E24)=D$10,F24,D$10-SUM(E$17:E24))</f>
        <v>0</v>
      </c>
      <c r="E25" s="69">
        <f t="shared" si="5"/>
        <v>0</v>
      </c>
      <c r="F25" s="68">
        <f t="shared" si="6"/>
        <v>0</v>
      </c>
      <c r="G25" s="70">
        <f t="shared" si="7"/>
        <v>0</v>
      </c>
      <c r="H25" s="52">
        <f t="shared" si="8"/>
        <v>0</v>
      </c>
      <c r="I25" s="65">
        <f t="shared" si="1"/>
        <v>0</v>
      </c>
      <c r="J25" s="65"/>
      <c r="K25" s="130"/>
      <c r="L25" s="67">
        <f t="shared" si="2"/>
        <v>0</v>
      </c>
      <c r="M25" s="130"/>
      <c r="N25" s="67">
        <f t="shared" si="3"/>
        <v>0</v>
      </c>
      <c r="O25" s="67">
        <f t="shared" si="4"/>
        <v>0</v>
      </c>
      <c r="P25" s="4"/>
    </row>
    <row r="26" spans="2:16" ht="12.5">
      <c r="B26" t="str">
        <f t="shared" si="0"/>
        <v/>
      </c>
      <c r="C26" s="62">
        <f>IF(D11="","-",+C25+1)</f>
        <v>2027</v>
      </c>
      <c r="D26" s="71">
        <f>IF(F25+SUM(E$17:E25)=D$10,F25,D$10-SUM(E$17:E25))</f>
        <v>0</v>
      </c>
      <c r="E26" s="69">
        <f t="shared" si="5"/>
        <v>0</v>
      </c>
      <c r="F26" s="68">
        <f t="shared" si="6"/>
        <v>0</v>
      </c>
      <c r="G26" s="70">
        <f t="shared" si="7"/>
        <v>0</v>
      </c>
      <c r="H26" s="52">
        <f t="shared" si="8"/>
        <v>0</v>
      </c>
      <c r="I26" s="65">
        <f t="shared" si="1"/>
        <v>0</v>
      </c>
      <c r="J26" s="65"/>
      <c r="K26" s="130"/>
      <c r="L26" s="67">
        <f t="shared" si="2"/>
        <v>0</v>
      </c>
      <c r="M26" s="130"/>
      <c r="N26" s="67">
        <f t="shared" si="3"/>
        <v>0</v>
      </c>
      <c r="O26" s="67">
        <f t="shared" si="4"/>
        <v>0</v>
      </c>
      <c r="P26" s="4"/>
    </row>
    <row r="27" spans="2:16" ht="12.5">
      <c r="B27" t="str">
        <f t="shared" si="0"/>
        <v/>
      </c>
      <c r="C27" s="62">
        <f>IF(D11="","-",+C26+1)</f>
        <v>2028</v>
      </c>
      <c r="D27" s="71">
        <f>IF(F26+SUM(E$17:E26)=D$10,F26,D$10-SUM(E$17:E26))</f>
        <v>0</v>
      </c>
      <c r="E27" s="69">
        <f t="shared" si="5"/>
        <v>0</v>
      </c>
      <c r="F27" s="68">
        <f t="shared" si="6"/>
        <v>0</v>
      </c>
      <c r="G27" s="70">
        <f t="shared" si="7"/>
        <v>0</v>
      </c>
      <c r="H27" s="52">
        <f t="shared" si="8"/>
        <v>0</v>
      </c>
      <c r="I27" s="65">
        <f t="shared" si="1"/>
        <v>0</v>
      </c>
      <c r="J27" s="65"/>
      <c r="K27" s="130"/>
      <c r="L27" s="67">
        <f t="shared" si="2"/>
        <v>0</v>
      </c>
      <c r="M27" s="130"/>
      <c r="N27" s="67">
        <f t="shared" si="3"/>
        <v>0</v>
      </c>
      <c r="O27" s="67">
        <f t="shared" si="4"/>
        <v>0</v>
      </c>
      <c r="P27" s="4"/>
    </row>
    <row r="28" spans="2:16" ht="12.5">
      <c r="B28" t="str">
        <f t="shared" si="0"/>
        <v/>
      </c>
      <c r="C28" s="62">
        <f>IF(D11="","-",+C27+1)</f>
        <v>2029</v>
      </c>
      <c r="D28" s="71">
        <f>IF(F27+SUM(E$17:E27)=D$10,F27,D$10-SUM(E$17:E27))</f>
        <v>0</v>
      </c>
      <c r="E28" s="69">
        <f t="shared" si="5"/>
        <v>0</v>
      </c>
      <c r="F28" s="68">
        <f t="shared" si="6"/>
        <v>0</v>
      </c>
      <c r="G28" s="70">
        <f t="shared" si="7"/>
        <v>0</v>
      </c>
      <c r="H28" s="52">
        <f t="shared" si="8"/>
        <v>0</v>
      </c>
      <c r="I28" s="65">
        <f t="shared" si="1"/>
        <v>0</v>
      </c>
      <c r="J28" s="65"/>
      <c r="K28" s="130"/>
      <c r="L28" s="67">
        <f t="shared" si="2"/>
        <v>0</v>
      </c>
      <c r="M28" s="130"/>
      <c r="N28" s="67">
        <f t="shared" si="3"/>
        <v>0</v>
      </c>
      <c r="O28" s="67">
        <f t="shared" si="4"/>
        <v>0</v>
      </c>
      <c r="P28" s="4"/>
    </row>
    <row r="29" spans="2:16" ht="12.5">
      <c r="B29" t="str">
        <f t="shared" si="0"/>
        <v/>
      </c>
      <c r="C29" s="62">
        <f>IF(D11="","-",+C28+1)</f>
        <v>2030</v>
      </c>
      <c r="D29" s="71">
        <f>IF(F28+SUM(E$17:E28)=D$10,F28,D$10-SUM(E$17:E28))</f>
        <v>0</v>
      </c>
      <c r="E29" s="69">
        <f t="shared" si="5"/>
        <v>0</v>
      </c>
      <c r="F29" s="68">
        <f t="shared" si="6"/>
        <v>0</v>
      </c>
      <c r="G29" s="70">
        <f t="shared" si="7"/>
        <v>0</v>
      </c>
      <c r="H29" s="52">
        <f t="shared" si="8"/>
        <v>0</v>
      </c>
      <c r="I29" s="65">
        <f t="shared" si="1"/>
        <v>0</v>
      </c>
      <c r="J29" s="65"/>
      <c r="K29" s="130"/>
      <c r="L29" s="67">
        <f t="shared" si="2"/>
        <v>0</v>
      </c>
      <c r="M29" s="130"/>
      <c r="N29" s="67">
        <f t="shared" si="3"/>
        <v>0</v>
      </c>
      <c r="O29" s="67">
        <f t="shared" si="4"/>
        <v>0</v>
      </c>
      <c r="P29" s="4"/>
    </row>
    <row r="30" spans="2:16" ht="12.5">
      <c r="B30" t="str">
        <f t="shared" si="0"/>
        <v/>
      </c>
      <c r="C30" s="62">
        <f>IF(D11="","-",+C29+1)</f>
        <v>2031</v>
      </c>
      <c r="D30" s="71">
        <f>IF(F29+SUM(E$17:E29)=D$10,F29,D$10-SUM(E$17:E29))</f>
        <v>0</v>
      </c>
      <c r="E30" s="69">
        <f t="shared" si="5"/>
        <v>0</v>
      </c>
      <c r="F30" s="68">
        <f t="shared" si="6"/>
        <v>0</v>
      </c>
      <c r="G30" s="70">
        <f t="shared" si="7"/>
        <v>0</v>
      </c>
      <c r="H30" s="52">
        <f t="shared" si="8"/>
        <v>0</v>
      </c>
      <c r="I30" s="65">
        <f t="shared" si="1"/>
        <v>0</v>
      </c>
      <c r="J30" s="65"/>
      <c r="K30" s="130"/>
      <c r="L30" s="67">
        <f t="shared" si="2"/>
        <v>0</v>
      </c>
      <c r="M30" s="130"/>
      <c r="N30" s="67">
        <f t="shared" si="3"/>
        <v>0</v>
      </c>
      <c r="O30" s="67">
        <f t="shared" si="4"/>
        <v>0</v>
      </c>
      <c r="P30" s="4"/>
    </row>
    <row r="31" spans="2:16" ht="12.5">
      <c r="B31" t="str">
        <f t="shared" si="0"/>
        <v/>
      </c>
      <c r="C31" s="62">
        <f>IF(D11="","-",+C30+1)</f>
        <v>2032</v>
      </c>
      <c r="D31" s="71">
        <f>IF(F30+SUM(E$17:E30)=D$10,F30,D$10-SUM(E$17:E30))</f>
        <v>0</v>
      </c>
      <c r="E31" s="69">
        <f t="shared" si="5"/>
        <v>0</v>
      </c>
      <c r="F31" s="68">
        <f t="shared" si="6"/>
        <v>0</v>
      </c>
      <c r="G31" s="70">
        <f t="shared" si="7"/>
        <v>0</v>
      </c>
      <c r="H31" s="52">
        <f t="shared" si="8"/>
        <v>0</v>
      </c>
      <c r="I31" s="65">
        <f t="shared" si="1"/>
        <v>0</v>
      </c>
      <c r="J31" s="65"/>
      <c r="K31" s="130"/>
      <c r="L31" s="67">
        <f t="shared" si="2"/>
        <v>0</v>
      </c>
      <c r="M31" s="130"/>
      <c r="N31" s="67">
        <f t="shared" si="3"/>
        <v>0</v>
      </c>
      <c r="O31" s="67">
        <f t="shared" si="4"/>
        <v>0</v>
      </c>
      <c r="P31" s="4"/>
    </row>
    <row r="32" spans="2:16" ht="12.5">
      <c r="B32" t="str">
        <f t="shared" si="0"/>
        <v/>
      </c>
      <c r="C32" s="62">
        <f>IF(D11="","-",+C31+1)</f>
        <v>2033</v>
      </c>
      <c r="D32" s="71">
        <f>IF(F31+SUM(E$17:E31)=D$10,F31,D$10-SUM(E$17:E31))</f>
        <v>0</v>
      </c>
      <c r="E32" s="69">
        <f t="shared" si="5"/>
        <v>0</v>
      </c>
      <c r="F32" s="68">
        <f t="shared" si="6"/>
        <v>0</v>
      </c>
      <c r="G32" s="70">
        <f t="shared" si="7"/>
        <v>0</v>
      </c>
      <c r="H32" s="52">
        <f t="shared" si="8"/>
        <v>0</v>
      </c>
      <c r="I32" s="65">
        <f t="shared" si="1"/>
        <v>0</v>
      </c>
      <c r="J32" s="65"/>
      <c r="K32" s="130"/>
      <c r="L32" s="67">
        <f t="shared" si="2"/>
        <v>0</v>
      </c>
      <c r="M32" s="130"/>
      <c r="N32" s="67">
        <f t="shared" si="3"/>
        <v>0</v>
      </c>
      <c r="O32" s="67">
        <f t="shared" si="4"/>
        <v>0</v>
      </c>
      <c r="P32" s="4"/>
    </row>
    <row r="33" spans="2:16" ht="12.5">
      <c r="B33" t="str">
        <f t="shared" si="0"/>
        <v/>
      </c>
      <c r="C33" s="62">
        <f>IF(D11="","-",+C32+1)</f>
        <v>2034</v>
      </c>
      <c r="D33" s="71">
        <f>IF(F32+SUM(E$17:E32)=D$10,F32,D$10-SUM(E$17:E32))</f>
        <v>0</v>
      </c>
      <c r="E33" s="69">
        <f t="shared" si="5"/>
        <v>0</v>
      </c>
      <c r="F33" s="68">
        <f t="shared" si="6"/>
        <v>0</v>
      </c>
      <c r="G33" s="70">
        <f t="shared" si="7"/>
        <v>0</v>
      </c>
      <c r="H33" s="52">
        <f t="shared" si="8"/>
        <v>0</v>
      </c>
      <c r="I33" s="65">
        <f t="shared" si="1"/>
        <v>0</v>
      </c>
      <c r="J33" s="65"/>
      <c r="K33" s="130"/>
      <c r="L33" s="67">
        <f t="shared" si="2"/>
        <v>0</v>
      </c>
      <c r="M33" s="130"/>
      <c r="N33" s="67">
        <f t="shared" si="3"/>
        <v>0</v>
      </c>
      <c r="O33" s="67">
        <f t="shared" si="4"/>
        <v>0</v>
      </c>
      <c r="P33" s="4"/>
    </row>
    <row r="34" spans="2:16" ht="12.5">
      <c r="B34" t="str">
        <f t="shared" si="0"/>
        <v/>
      </c>
      <c r="C34" s="62">
        <f>IF(D11="","-",+C33+1)</f>
        <v>2035</v>
      </c>
      <c r="D34" s="71">
        <f>IF(F33+SUM(E$17:E33)=D$10,F33,D$10-SUM(E$17:E33))</f>
        <v>0</v>
      </c>
      <c r="E34" s="69">
        <f t="shared" si="5"/>
        <v>0</v>
      </c>
      <c r="F34" s="68">
        <f t="shared" si="6"/>
        <v>0</v>
      </c>
      <c r="G34" s="70">
        <f t="shared" si="7"/>
        <v>0</v>
      </c>
      <c r="H34" s="52">
        <f t="shared" si="8"/>
        <v>0</v>
      </c>
      <c r="I34" s="65">
        <f t="shared" si="1"/>
        <v>0</v>
      </c>
      <c r="J34" s="65"/>
      <c r="K34" s="130"/>
      <c r="L34" s="67">
        <f t="shared" si="2"/>
        <v>0</v>
      </c>
      <c r="M34" s="130"/>
      <c r="N34" s="67">
        <f t="shared" si="3"/>
        <v>0</v>
      </c>
      <c r="O34" s="67">
        <f t="shared" si="4"/>
        <v>0</v>
      </c>
      <c r="P34" s="4"/>
    </row>
    <row r="35" spans="2:16" ht="12.5">
      <c r="B35" t="str">
        <f t="shared" si="0"/>
        <v/>
      </c>
      <c r="C35" s="62">
        <f>IF(D11="","-",+C34+1)</f>
        <v>2036</v>
      </c>
      <c r="D35" s="71">
        <f>IF(F34+SUM(E$17:E34)=D$10,F34,D$10-SUM(E$17:E34))</f>
        <v>0</v>
      </c>
      <c r="E35" s="69">
        <f t="shared" si="5"/>
        <v>0</v>
      </c>
      <c r="F35" s="68">
        <f t="shared" si="6"/>
        <v>0</v>
      </c>
      <c r="G35" s="70">
        <f t="shared" si="7"/>
        <v>0</v>
      </c>
      <c r="H35" s="52">
        <f t="shared" si="8"/>
        <v>0</v>
      </c>
      <c r="I35" s="65">
        <f t="shared" si="1"/>
        <v>0</v>
      </c>
      <c r="J35" s="65"/>
      <c r="K35" s="130"/>
      <c r="L35" s="67">
        <f t="shared" si="2"/>
        <v>0</v>
      </c>
      <c r="M35" s="130"/>
      <c r="N35" s="67">
        <f t="shared" si="3"/>
        <v>0</v>
      </c>
      <c r="O35" s="67">
        <f t="shared" si="4"/>
        <v>0</v>
      </c>
      <c r="P35" s="4"/>
    </row>
    <row r="36" spans="2:16" ht="12.5">
      <c r="B36" t="str">
        <f t="shared" si="0"/>
        <v/>
      </c>
      <c r="C36" s="62">
        <f>IF(D11="","-",+C35+1)</f>
        <v>2037</v>
      </c>
      <c r="D36" s="71">
        <f>IF(F35+SUM(E$17:E35)=D$10,F35,D$10-SUM(E$17:E35))</f>
        <v>0</v>
      </c>
      <c r="E36" s="69">
        <f t="shared" si="5"/>
        <v>0</v>
      </c>
      <c r="F36" s="68">
        <f t="shared" si="6"/>
        <v>0</v>
      </c>
      <c r="G36" s="70">
        <f t="shared" si="7"/>
        <v>0</v>
      </c>
      <c r="H36" s="52">
        <f t="shared" si="8"/>
        <v>0</v>
      </c>
      <c r="I36" s="65">
        <f t="shared" si="1"/>
        <v>0</v>
      </c>
      <c r="J36" s="65"/>
      <c r="K36" s="130"/>
      <c r="L36" s="67">
        <f t="shared" si="2"/>
        <v>0</v>
      </c>
      <c r="M36" s="130"/>
      <c r="N36" s="67">
        <f t="shared" si="3"/>
        <v>0</v>
      </c>
      <c r="O36" s="67">
        <f t="shared" si="4"/>
        <v>0</v>
      </c>
      <c r="P36" s="4"/>
    </row>
    <row r="37" spans="2:16" ht="12.5">
      <c r="B37" t="str">
        <f t="shared" si="0"/>
        <v/>
      </c>
      <c r="C37" s="62">
        <f>IF(D11="","-",+C36+1)</f>
        <v>2038</v>
      </c>
      <c r="D37" s="71">
        <f>IF(F36+SUM(E$17:E36)=D$10,F36,D$10-SUM(E$17:E36))</f>
        <v>0</v>
      </c>
      <c r="E37" s="69">
        <f t="shared" si="5"/>
        <v>0</v>
      </c>
      <c r="F37" s="68">
        <f t="shared" si="6"/>
        <v>0</v>
      </c>
      <c r="G37" s="70">
        <f t="shared" si="7"/>
        <v>0</v>
      </c>
      <c r="H37" s="52">
        <f t="shared" si="8"/>
        <v>0</v>
      </c>
      <c r="I37" s="65">
        <f t="shared" si="1"/>
        <v>0</v>
      </c>
      <c r="J37" s="65"/>
      <c r="K37" s="130"/>
      <c r="L37" s="67">
        <f t="shared" si="2"/>
        <v>0</v>
      </c>
      <c r="M37" s="130"/>
      <c r="N37" s="67">
        <f t="shared" si="3"/>
        <v>0</v>
      </c>
      <c r="O37" s="67">
        <f t="shared" si="4"/>
        <v>0</v>
      </c>
      <c r="P37" s="4"/>
    </row>
    <row r="38" spans="2:16" ht="12.5">
      <c r="B38" t="str">
        <f t="shared" si="0"/>
        <v/>
      </c>
      <c r="C38" s="62">
        <f>IF(D11="","-",+C37+1)</f>
        <v>2039</v>
      </c>
      <c r="D38" s="71">
        <f>IF(F37+SUM(E$17:E37)=D$10,F37,D$10-SUM(E$17:E37))</f>
        <v>0</v>
      </c>
      <c r="E38" s="69">
        <f t="shared" si="5"/>
        <v>0</v>
      </c>
      <c r="F38" s="68">
        <f t="shared" si="6"/>
        <v>0</v>
      </c>
      <c r="G38" s="70">
        <f t="shared" si="7"/>
        <v>0</v>
      </c>
      <c r="H38" s="52">
        <f t="shared" si="8"/>
        <v>0</v>
      </c>
      <c r="I38" s="65">
        <f t="shared" si="1"/>
        <v>0</v>
      </c>
      <c r="J38" s="65"/>
      <c r="K38" s="130"/>
      <c r="L38" s="67">
        <f t="shared" si="2"/>
        <v>0</v>
      </c>
      <c r="M38" s="130"/>
      <c r="N38" s="67">
        <f t="shared" si="3"/>
        <v>0</v>
      </c>
      <c r="O38" s="67">
        <f t="shared" si="4"/>
        <v>0</v>
      </c>
      <c r="P38" s="4"/>
    </row>
    <row r="39" spans="2:16" ht="12.5">
      <c r="B39" t="str">
        <f t="shared" si="0"/>
        <v/>
      </c>
      <c r="C39" s="62">
        <f>IF(D11="","-",+C38+1)</f>
        <v>2040</v>
      </c>
      <c r="D39" s="71">
        <f>IF(F38+SUM(E$17:E38)=D$10,F38,D$10-SUM(E$17:E38))</f>
        <v>0</v>
      </c>
      <c r="E39" s="69">
        <f t="shared" si="5"/>
        <v>0</v>
      </c>
      <c r="F39" s="68">
        <f t="shared" si="6"/>
        <v>0</v>
      </c>
      <c r="G39" s="70">
        <f t="shared" si="7"/>
        <v>0</v>
      </c>
      <c r="H39" s="52">
        <f t="shared" si="8"/>
        <v>0</v>
      </c>
      <c r="I39" s="65">
        <f t="shared" si="1"/>
        <v>0</v>
      </c>
      <c r="J39" s="65"/>
      <c r="K39" s="130"/>
      <c r="L39" s="67">
        <f t="shared" si="2"/>
        <v>0</v>
      </c>
      <c r="M39" s="130"/>
      <c r="N39" s="67">
        <f t="shared" si="3"/>
        <v>0</v>
      </c>
      <c r="O39" s="67">
        <f t="shared" si="4"/>
        <v>0</v>
      </c>
      <c r="P39" s="4"/>
    </row>
    <row r="40" spans="2:16" ht="12.5">
      <c r="B40" t="str">
        <f t="shared" si="0"/>
        <v/>
      </c>
      <c r="C40" s="62">
        <f>IF(D11="","-",+C39+1)</f>
        <v>2041</v>
      </c>
      <c r="D40" s="71">
        <f>IF(F39+SUM(E$17:E39)=D$10,F39,D$10-SUM(E$17:E39))</f>
        <v>0</v>
      </c>
      <c r="E40" s="69">
        <f t="shared" si="5"/>
        <v>0</v>
      </c>
      <c r="F40" s="68">
        <f t="shared" si="6"/>
        <v>0</v>
      </c>
      <c r="G40" s="70">
        <f t="shared" si="7"/>
        <v>0</v>
      </c>
      <c r="H40" s="52">
        <f t="shared" si="8"/>
        <v>0</v>
      </c>
      <c r="I40" s="65">
        <f t="shared" si="1"/>
        <v>0</v>
      </c>
      <c r="J40" s="65"/>
      <c r="K40" s="130"/>
      <c r="L40" s="67">
        <f t="shared" si="2"/>
        <v>0</v>
      </c>
      <c r="M40" s="130"/>
      <c r="N40" s="67">
        <f t="shared" si="3"/>
        <v>0</v>
      </c>
      <c r="O40" s="67">
        <f t="shared" si="4"/>
        <v>0</v>
      </c>
      <c r="P40" s="4"/>
    </row>
    <row r="41" spans="2:16" ht="12.5">
      <c r="B41" t="str">
        <f t="shared" si="0"/>
        <v/>
      </c>
      <c r="C41" s="62">
        <f>IF(D11="","-",+C40+1)</f>
        <v>2042</v>
      </c>
      <c r="D41" s="71">
        <f>IF(F40+SUM(E$17:E40)=D$10,F40,D$10-SUM(E$17:E40))</f>
        <v>0</v>
      </c>
      <c r="E41" s="69">
        <f t="shared" si="5"/>
        <v>0</v>
      </c>
      <c r="F41" s="68">
        <f t="shared" si="6"/>
        <v>0</v>
      </c>
      <c r="G41" s="70">
        <f t="shared" si="7"/>
        <v>0</v>
      </c>
      <c r="H41" s="52">
        <f t="shared" si="8"/>
        <v>0</v>
      </c>
      <c r="I41" s="65">
        <f t="shared" si="1"/>
        <v>0</v>
      </c>
      <c r="J41" s="65"/>
      <c r="K41" s="130"/>
      <c r="L41" s="67">
        <f t="shared" si="2"/>
        <v>0</v>
      </c>
      <c r="M41" s="130"/>
      <c r="N41" s="67">
        <f t="shared" si="3"/>
        <v>0</v>
      </c>
      <c r="O41" s="67">
        <f t="shared" si="4"/>
        <v>0</v>
      </c>
      <c r="P41" s="4"/>
    </row>
    <row r="42" spans="2:16" ht="12.5">
      <c r="B42" t="str">
        <f t="shared" si="0"/>
        <v/>
      </c>
      <c r="C42" s="62">
        <f>IF(D11="","-",+C41+1)</f>
        <v>2043</v>
      </c>
      <c r="D42" s="71">
        <f>IF(F41+SUM(E$17:E41)=D$10,F41,D$10-SUM(E$17:E41))</f>
        <v>0</v>
      </c>
      <c r="E42" s="69">
        <f t="shared" si="5"/>
        <v>0</v>
      </c>
      <c r="F42" s="68">
        <f t="shared" si="6"/>
        <v>0</v>
      </c>
      <c r="G42" s="70">
        <f t="shared" si="7"/>
        <v>0</v>
      </c>
      <c r="H42" s="52">
        <f t="shared" si="8"/>
        <v>0</v>
      </c>
      <c r="I42" s="65">
        <f t="shared" si="1"/>
        <v>0</v>
      </c>
      <c r="J42" s="65"/>
      <c r="K42" s="130"/>
      <c r="L42" s="67">
        <f t="shared" si="2"/>
        <v>0</v>
      </c>
      <c r="M42" s="130"/>
      <c r="N42" s="67">
        <f t="shared" si="3"/>
        <v>0</v>
      </c>
      <c r="O42" s="67">
        <f t="shared" si="4"/>
        <v>0</v>
      </c>
      <c r="P42" s="4"/>
    </row>
    <row r="43" spans="2:16" ht="12.5">
      <c r="B43" t="str">
        <f t="shared" si="0"/>
        <v/>
      </c>
      <c r="C43" s="62">
        <f>IF(D11="","-",+C42+1)</f>
        <v>2044</v>
      </c>
      <c r="D43" s="71">
        <f>IF(F42+SUM(E$17:E42)=D$10,F42,D$10-SUM(E$17:E42))</f>
        <v>0</v>
      </c>
      <c r="E43" s="69">
        <f t="shared" si="5"/>
        <v>0</v>
      </c>
      <c r="F43" s="68">
        <f t="shared" si="6"/>
        <v>0</v>
      </c>
      <c r="G43" s="70">
        <f t="shared" si="7"/>
        <v>0</v>
      </c>
      <c r="H43" s="52">
        <f t="shared" si="8"/>
        <v>0</v>
      </c>
      <c r="I43" s="65">
        <f t="shared" si="1"/>
        <v>0</v>
      </c>
      <c r="J43" s="65"/>
      <c r="K43" s="130"/>
      <c r="L43" s="67">
        <f t="shared" si="2"/>
        <v>0</v>
      </c>
      <c r="M43" s="130"/>
      <c r="N43" s="67">
        <f t="shared" si="3"/>
        <v>0</v>
      </c>
      <c r="O43" s="67">
        <f t="shared" si="4"/>
        <v>0</v>
      </c>
      <c r="P43" s="4"/>
    </row>
    <row r="44" spans="2:16" ht="12.5">
      <c r="B44" t="str">
        <f t="shared" si="0"/>
        <v/>
      </c>
      <c r="C44" s="62">
        <f>IF(D11="","-",+C43+1)</f>
        <v>2045</v>
      </c>
      <c r="D44" s="71">
        <f>IF(F43+SUM(E$17:E43)=D$10,F43,D$10-SUM(E$17:E43))</f>
        <v>0</v>
      </c>
      <c r="E44" s="69">
        <f t="shared" si="5"/>
        <v>0</v>
      </c>
      <c r="F44" s="68">
        <f t="shared" si="6"/>
        <v>0</v>
      </c>
      <c r="G44" s="70">
        <f t="shared" si="7"/>
        <v>0</v>
      </c>
      <c r="H44" s="52">
        <f t="shared" si="8"/>
        <v>0</v>
      </c>
      <c r="I44" s="65">
        <f t="shared" si="1"/>
        <v>0</v>
      </c>
      <c r="J44" s="65"/>
      <c r="K44" s="130"/>
      <c r="L44" s="67">
        <f t="shared" si="2"/>
        <v>0</v>
      </c>
      <c r="M44" s="130"/>
      <c r="N44" s="67">
        <f t="shared" si="3"/>
        <v>0</v>
      </c>
      <c r="O44" s="67">
        <f t="shared" si="4"/>
        <v>0</v>
      </c>
      <c r="P44" s="4"/>
    </row>
    <row r="45" spans="2:16" ht="12.5">
      <c r="B45" t="str">
        <f t="shared" si="0"/>
        <v/>
      </c>
      <c r="C45" s="62">
        <f>IF(D11="","-",+C44+1)</f>
        <v>2046</v>
      </c>
      <c r="D45" s="71">
        <f>IF(F44+SUM(E$17:E44)=D$10,F44,D$10-SUM(E$17:E44))</f>
        <v>0</v>
      </c>
      <c r="E45" s="69">
        <f t="shared" si="5"/>
        <v>0</v>
      </c>
      <c r="F45" s="68">
        <f t="shared" si="6"/>
        <v>0</v>
      </c>
      <c r="G45" s="70">
        <f t="shared" si="7"/>
        <v>0</v>
      </c>
      <c r="H45" s="52">
        <f t="shared" si="8"/>
        <v>0</v>
      </c>
      <c r="I45" s="65">
        <f t="shared" si="1"/>
        <v>0</v>
      </c>
      <c r="J45" s="65"/>
      <c r="K45" s="130"/>
      <c r="L45" s="67">
        <f t="shared" si="2"/>
        <v>0</v>
      </c>
      <c r="M45" s="130"/>
      <c r="N45" s="67">
        <f t="shared" si="3"/>
        <v>0</v>
      </c>
      <c r="O45" s="67">
        <f t="shared" si="4"/>
        <v>0</v>
      </c>
      <c r="P45" s="4"/>
    </row>
    <row r="46" spans="2:16" ht="12.5">
      <c r="B46" t="str">
        <f t="shared" si="0"/>
        <v/>
      </c>
      <c r="C46" s="62">
        <f>IF(D11="","-",+C45+1)</f>
        <v>2047</v>
      </c>
      <c r="D46" s="71">
        <f>IF(F45+SUM(E$17:E45)=D$10,F45,D$10-SUM(E$17:E45))</f>
        <v>0</v>
      </c>
      <c r="E46" s="69">
        <f t="shared" si="5"/>
        <v>0</v>
      </c>
      <c r="F46" s="68">
        <f t="shared" si="6"/>
        <v>0</v>
      </c>
      <c r="G46" s="70">
        <f t="shared" si="7"/>
        <v>0</v>
      </c>
      <c r="H46" s="52">
        <f t="shared" si="8"/>
        <v>0</v>
      </c>
      <c r="I46" s="65">
        <f t="shared" si="1"/>
        <v>0</v>
      </c>
      <c r="J46" s="65"/>
      <c r="K46" s="130"/>
      <c r="L46" s="67">
        <f t="shared" si="2"/>
        <v>0</v>
      </c>
      <c r="M46" s="130"/>
      <c r="N46" s="67">
        <f t="shared" si="3"/>
        <v>0</v>
      </c>
      <c r="O46" s="67">
        <f t="shared" si="4"/>
        <v>0</v>
      </c>
      <c r="P46" s="4"/>
    </row>
    <row r="47" spans="2:16" ht="12.5">
      <c r="B47" t="str">
        <f t="shared" si="0"/>
        <v/>
      </c>
      <c r="C47" s="62">
        <f>IF(D11="","-",+C46+1)</f>
        <v>2048</v>
      </c>
      <c r="D47" s="71">
        <f>IF(F46+SUM(E$17:E46)=D$10,F46,D$10-SUM(E$17:E46))</f>
        <v>0</v>
      </c>
      <c r="E47" s="69">
        <f t="shared" si="5"/>
        <v>0</v>
      </c>
      <c r="F47" s="68">
        <f t="shared" si="6"/>
        <v>0</v>
      </c>
      <c r="G47" s="70">
        <f t="shared" si="7"/>
        <v>0</v>
      </c>
      <c r="H47" s="52">
        <f t="shared" si="8"/>
        <v>0</v>
      </c>
      <c r="I47" s="65">
        <f t="shared" si="1"/>
        <v>0</v>
      </c>
      <c r="J47" s="65"/>
      <c r="K47" s="130"/>
      <c r="L47" s="67">
        <f t="shared" si="2"/>
        <v>0</v>
      </c>
      <c r="M47" s="130"/>
      <c r="N47" s="67">
        <f t="shared" si="3"/>
        <v>0</v>
      </c>
      <c r="O47" s="67">
        <f t="shared" si="4"/>
        <v>0</v>
      </c>
      <c r="P47" s="4"/>
    </row>
    <row r="48" spans="2:16" ht="12.5">
      <c r="B48" t="str">
        <f t="shared" si="0"/>
        <v/>
      </c>
      <c r="C48" s="62">
        <f>IF(D11="","-",+C47+1)</f>
        <v>2049</v>
      </c>
      <c r="D48" s="71">
        <f>IF(F47+SUM(E$17:E47)=D$10,F47,D$10-SUM(E$17:E47))</f>
        <v>0</v>
      </c>
      <c r="E48" s="69">
        <f t="shared" si="5"/>
        <v>0</v>
      </c>
      <c r="F48" s="68">
        <f t="shared" si="6"/>
        <v>0</v>
      </c>
      <c r="G48" s="70">
        <f t="shared" si="7"/>
        <v>0</v>
      </c>
      <c r="H48" s="52">
        <f t="shared" si="8"/>
        <v>0</v>
      </c>
      <c r="I48" s="65">
        <f t="shared" si="1"/>
        <v>0</v>
      </c>
      <c r="J48" s="65"/>
      <c r="K48" s="130"/>
      <c r="L48" s="67">
        <f t="shared" si="2"/>
        <v>0</v>
      </c>
      <c r="M48" s="130"/>
      <c r="N48" s="67">
        <f t="shared" si="3"/>
        <v>0</v>
      </c>
      <c r="O48" s="67">
        <f t="shared" si="4"/>
        <v>0</v>
      </c>
      <c r="P48" s="4"/>
    </row>
    <row r="49" spans="2:16" ht="12.5">
      <c r="B49" t="str">
        <f t="shared" si="0"/>
        <v/>
      </c>
      <c r="C49" s="62">
        <f>IF(D11="","-",+C48+1)</f>
        <v>2050</v>
      </c>
      <c r="D49" s="71">
        <f>IF(F48+SUM(E$17:E48)=D$10,F48,D$10-SUM(E$17:E48))</f>
        <v>0</v>
      </c>
      <c r="E49" s="69">
        <f t="shared" si="5"/>
        <v>0</v>
      </c>
      <c r="F49" s="68">
        <f t="shared" ref="F49:F71" si="9">+D49-E49</f>
        <v>0</v>
      </c>
      <c r="G49" s="70">
        <f t="shared" si="7"/>
        <v>0</v>
      </c>
      <c r="H49" s="52">
        <f t="shared" si="8"/>
        <v>0</v>
      </c>
      <c r="I49" s="65">
        <f t="shared" ref="I49:I71" si="10">H49-G49</f>
        <v>0</v>
      </c>
      <c r="J49" s="65"/>
      <c r="K49" s="130"/>
      <c r="L49" s="67">
        <f t="shared" ref="L49:L71" si="11">IF(K49&lt;&gt;0,+G49-K49,0)</f>
        <v>0</v>
      </c>
      <c r="M49" s="130"/>
      <c r="N49" s="67">
        <f t="shared" ref="N49:N71" si="12">IF(M49&lt;&gt;0,+H49-M49,0)</f>
        <v>0</v>
      </c>
      <c r="O49" s="67">
        <f t="shared" ref="O49:O71" si="13">+N49-L49</f>
        <v>0</v>
      </c>
      <c r="P49" s="4"/>
    </row>
    <row r="50" spans="2:16" ht="12.5">
      <c r="B50" t="str">
        <f t="shared" si="0"/>
        <v/>
      </c>
      <c r="C50" s="62">
        <f>IF(D11="","-",+C49+1)</f>
        <v>2051</v>
      </c>
      <c r="D50" s="71">
        <f>IF(F49+SUM(E$17:E49)=D$10,F49,D$10-SUM(E$17:E49))</f>
        <v>0</v>
      </c>
      <c r="E50" s="69">
        <f t="shared" ref="E50:E71" si="14">IF(+I$14&lt;F49,I$14,D50)</f>
        <v>0</v>
      </c>
      <c r="F50" s="68">
        <f t="shared" si="9"/>
        <v>0</v>
      </c>
      <c r="G50" s="70">
        <f t="shared" si="7"/>
        <v>0</v>
      </c>
      <c r="H50" s="52">
        <f t="shared" si="8"/>
        <v>0</v>
      </c>
      <c r="I50" s="65">
        <f t="shared" si="10"/>
        <v>0</v>
      </c>
      <c r="J50" s="65"/>
      <c r="K50" s="130"/>
      <c r="L50" s="67">
        <f t="shared" si="11"/>
        <v>0</v>
      </c>
      <c r="M50" s="130"/>
      <c r="N50" s="67">
        <f t="shared" si="12"/>
        <v>0</v>
      </c>
      <c r="O50" s="67">
        <f t="shared" si="13"/>
        <v>0</v>
      </c>
      <c r="P50" s="4"/>
    </row>
    <row r="51" spans="2:16" ht="12.5">
      <c r="B51" t="str">
        <f t="shared" si="0"/>
        <v/>
      </c>
      <c r="C51" s="62">
        <f>IF(D11="","-",+C50+1)</f>
        <v>2052</v>
      </c>
      <c r="D51" s="71">
        <f>IF(F50+SUM(E$17:E50)=D$10,F50,D$10-SUM(E$17:E50))</f>
        <v>0</v>
      </c>
      <c r="E51" s="69">
        <f t="shared" si="14"/>
        <v>0</v>
      </c>
      <c r="F51" s="68">
        <f t="shared" si="9"/>
        <v>0</v>
      </c>
      <c r="G51" s="70">
        <f t="shared" si="7"/>
        <v>0</v>
      </c>
      <c r="H51" s="52">
        <f t="shared" si="8"/>
        <v>0</v>
      </c>
      <c r="I51" s="65">
        <f t="shared" si="10"/>
        <v>0</v>
      </c>
      <c r="J51" s="65"/>
      <c r="K51" s="130"/>
      <c r="L51" s="67">
        <f t="shared" si="11"/>
        <v>0</v>
      </c>
      <c r="M51" s="130"/>
      <c r="N51" s="67">
        <f t="shared" si="12"/>
        <v>0</v>
      </c>
      <c r="O51" s="67">
        <f t="shared" si="13"/>
        <v>0</v>
      </c>
      <c r="P51" s="4"/>
    </row>
    <row r="52" spans="2:16" ht="12.5">
      <c r="B52" t="str">
        <f t="shared" si="0"/>
        <v/>
      </c>
      <c r="C52" s="62">
        <f>IF(D11="","-",+C51+1)</f>
        <v>2053</v>
      </c>
      <c r="D52" s="71">
        <f>IF(F51+SUM(E$17:E51)=D$10,F51,D$10-SUM(E$17:E51))</f>
        <v>0</v>
      </c>
      <c r="E52" s="69">
        <f t="shared" si="14"/>
        <v>0</v>
      </c>
      <c r="F52" s="68">
        <f t="shared" si="9"/>
        <v>0</v>
      </c>
      <c r="G52" s="70">
        <f t="shared" si="7"/>
        <v>0</v>
      </c>
      <c r="H52" s="52">
        <f t="shared" si="8"/>
        <v>0</v>
      </c>
      <c r="I52" s="65">
        <f t="shared" si="10"/>
        <v>0</v>
      </c>
      <c r="J52" s="65"/>
      <c r="K52" s="130"/>
      <c r="L52" s="67">
        <f t="shared" si="11"/>
        <v>0</v>
      </c>
      <c r="M52" s="130"/>
      <c r="N52" s="67">
        <f t="shared" si="12"/>
        <v>0</v>
      </c>
      <c r="O52" s="67">
        <f t="shared" si="13"/>
        <v>0</v>
      </c>
      <c r="P52" s="4"/>
    </row>
    <row r="53" spans="2:16" ht="12.5">
      <c r="B53" t="str">
        <f t="shared" si="0"/>
        <v/>
      </c>
      <c r="C53" s="62">
        <f>IF(D11="","-",+C52+1)</f>
        <v>2054</v>
      </c>
      <c r="D53" s="71">
        <f>IF(F52+SUM(E$17:E52)=D$10,F52,D$10-SUM(E$17:E52))</f>
        <v>0</v>
      </c>
      <c r="E53" s="69">
        <f t="shared" si="14"/>
        <v>0</v>
      </c>
      <c r="F53" s="68">
        <f t="shared" si="9"/>
        <v>0</v>
      </c>
      <c r="G53" s="70">
        <f t="shared" si="7"/>
        <v>0</v>
      </c>
      <c r="H53" s="52">
        <f t="shared" si="8"/>
        <v>0</v>
      </c>
      <c r="I53" s="65">
        <f t="shared" si="10"/>
        <v>0</v>
      </c>
      <c r="J53" s="65"/>
      <c r="K53" s="130"/>
      <c r="L53" s="67">
        <f t="shared" si="11"/>
        <v>0</v>
      </c>
      <c r="M53" s="130"/>
      <c r="N53" s="67">
        <f t="shared" si="12"/>
        <v>0</v>
      </c>
      <c r="O53" s="67">
        <f t="shared" si="13"/>
        <v>0</v>
      </c>
      <c r="P53" s="4"/>
    </row>
    <row r="54" spans="2:16" ht="12.5">
      <c r="B54" t="str">
        <f t="shared" si="0"/>
        <v/>
      </c>
      <c r="C54" s="62">
        <f>IF(D11="","-",+C53+1)</f>
        <v>2055</v>
      </c>
      <c r="D54" s="71">
        <f>IF(F53+SUM(E$17:E53)=D$10,F53,D$10-SUM(E$17:E53))</f>
        <v>0</v>
      </c>
      <c r="E54" s="69">
        <f t="shared" si="14"/>
        <v>0</v>
      </c>
      <c r="F54" s="68">
        <f t="shared" si="9"/>
        <v>0</v>
      </c>
      <c r="G54" s="70">
        <f t="shared" si="7"/>
        <v>0</v>
      </c>
      <c r="H54" s="52">
        <f t="shared" si="8"/>
        <v>0</v>
      </c>
      <c r="I54" s="65">
        <f t="shared" si="10"/>
        <v>0</v>
      </c>
      <c r="J54" s="65"/>
      <c r="K54" s="130"/>
      <c r="L54" s="67">
        <f t="shared" si="11"/>
        <v>0</v>
      </c>
      <c r="M54" s="130"/>
      <c r="N54" s="67">
        <f t="shared" si="12"/>
        <v>0</v>
      </c>
      <c r="O54" s="67">
        <f t="shared" si="13"/>
        <v>0</v>
      </c>
      <c r="P54" s="4"/>
    </row>
    <row r="55" spans="2:16" ht="12.5">
      <c r="B55" t="str">
        <f t="shared" si="0"/>
        <v/>
      </c>
      <c r="C55" s="62">
        <f>IF(D11="","-",+C54+1)</f>
        <v>2056</v>
      </c>
      <c r="D55" s="71">
        <f>IF(F54+SUM(E$17:E54)=D$10,F54,D$10-SUM(E$17:E54))</f>
        <v>0</v>
      </c>
      <c r="E55" s="69">
        <f t="shared" si="14"/>
        <v>0</v>
      </c>
      <c r="F55" s="68">
        <f t="shared" si="9"/>
        <v>0</v>
      </c>
      <c r="G55" s="70">
        <f t="shared" si="7"/>
        <v>0</v>
      </c>
      <c r="H55" s="52">
        <f t="shared" si="8"/>
        <v>0</v>
      </c>
      <c r="I55" s="65">
        <f t="shared" si="10"/>
        <v>0</v>
      </c>
      <c r="J55" s="65"/>
      <c r="K55" s="130"/>
      <c r="L55" s="67">
        <f t="shared" si="11"/>
        <v>0</v>
      </c>
      <c r="M55" s="130"/>
      <c r="N55" s="67">
        <f t="shared" si="12"/>
        <v>0</v>
      </c>
      <c r="O55" s="67">
        <f t="shared" si="13"/>
        <v>0</v>
      </c>
      <c r="P55" s="4"/>
    </row>
    <row r="56" spans="2:16" ht="12.5">
      <c r="B56" t="str">
        <f t="shared" si="0"/>
        <v/>
      </c>
      <c r="C56" s="62">
        <f>IF(D11="","-",+C55+1)</f>
        <v>2057</v>
      </c>
      <c r="D56" s="71">
        <f>IF(F55+SUM(E$17:E55)=D$10,F55,D$10-SUM(E$17:E55))</f>
        <v>0</v>
      </c>
      <c r="E56" s="69">
        <f t="shared" si="14"/>
        <v>0</v>
      </c>
      <c r="F56" s="68">
        <f t="shared" si="9"/>
        <v>0</v>
      </c>
      <c r="G56" s="70">
        <f t="shared" si="7"/>
        <v>0</v>
      </c>
      <c r="H56" s="52">
        <f t="shared" si="8"/>
        <v>0</v>
      </c>
      <c r="I56" s="65">
        <f t="shared" si="10"/>
        <v>0</v>
      </c>
      <c r="J56" s="65"/>
      <c r="K56" s="130"/>
      <c r="L56" s="67">
        <f t="shared" si="11"/>
        <v>0</v>
      </c>
      <c r="M56" s="130"/>
      <c r="N56" s="67">
        <f t="shared" si="12"/>
        <v>0</v>
      </c>
      <c r="O56" s="67">
        <f t="shared" si="13"/>
        <v>0</v>
      </c>
      <c r="P56" s="4"/>
    </row>
    <row r="57" spans="2:16" ht="12.5">
      <c r="B57" t="str">
        <f t="shared" si="0"/>
        <v/>
      </c>
      <c r="C57" s="62">
        <f>IF(D11="","-",+C56+1)</f>
        <v>2058</v>
      </c>
      <c r="D57" s="71">
        <f>IF(F56+SUM(E$17:E56)=D$10,F56,D$10-SUM(E$17:E56))</f>
        <v>0</v>
      </c>
      <c r="E57" s="69">
        <f t="shared" si="14"/>
        <v>0</v>
      </c>
      <c r="F57" s="68">
        <f t="shared" si="9"/>
        <v>0</v>
      </c>
      <c r="G57" s="70">
        <f t="shared" si="7"/>
        <v>0</v>
      </c>
      <c r="H57" s="52">
        <f t="shared" si="8"/>
        <v>0</v>
      </c>
      <c r="I57" s="65">
        <f t="shared" si="10"/>
        <v>0</v>
      </c>
      <c r="J57" s="65"/>
      <c r="K57" s="130"/>
      <c r="L57" s="67">
        <f t="shared" si="11"/>
        <v>0</v>
      </c>
      <c r="M57" s="130"/>
      <c r="N57" s="67">
        <f t="shared" si="12"/>
        <v>0</v>
      </c>
      <c r="O57" s="67">
        <f t="shared" si="13"/>
        <v>0</v>
      </c>
      <c r="P57" s="4"/>
    </row>
    <row r="58" spans="2:16" ht="12.5">
      <c r="B58" t="str">
        <f t="shared" si="0"/>
        <v/>
      </c>
      <c r="C58" s="62">
        <f>IF(D11="","-",+C57+1)</f>
        <v>2059</v>
      </c>
      <c r="D58" s="71">
        <f>IF(F57+SUM(E$17:E57)=D$10,F57,D$10-SUM(E$17:E57))</f>
        <v>0</v>
      </c>
      <c r="E58" s="69">
        <f t="shared" si="14"/>
        <v>0</v>
      </c>
      <c r="F58" s="68">
        <f t="shared" si="9"/>
        <v>0</v>
      </c>
      <c r="G58" s="70">
        <f t="shared" si="7"/>
        <v>0</v>
      </c>
      <c r="H58" s="52">
        <f t="shared" si="8"/>
        <v>0</v>
      </c>
      <c r="I58" s="65">
        <f t="shared" si="10"/>
        <v>0</v>
      </c>
      <c r="J58" s="65"/>
      <c r="K58" s="130"/>
      <c r="L58" s="67">
        <f t="shared" si="11"/>
        <v>0</v>
      </c>
      <c r="M58" s="130"/>
      <c r="N58" s="67">
        <f t="shared" si="12"/>
        <v>0</v>
      </c>
      <c r="O58" s="67">
        <f t="shared" si="13"/>
        <v>0</v>
      </c>
      <c r="P58" s="4"/>
    </row>
    <row r="59" spans="2:16" ht="12.5">
      <c r="B59" t="str">
        <f t="shared" si="0"/>
        <v/>
      </c>
      <c r="C59" s="62">
        <f>IF(D11="","-",+C58+1)</f>
        <v>2060</v>
      </c>
      <c r="D59" s="71">
        <f>IF(F58+SUM(E$17:E58)=D$10,F58,D$10-SUM(E$17:E58))</f>
        <v>0</v>
      </c>
      <c r="E59" s="69">
        <f t="shared" si="14"/>
        <v>0</v>
      </c>
      <c r="F59" s="68">
        <f t="shared" si="9"/>
        <v>0</v>
      </c>
      <c r="G59" s="70">
        <f t="shared" si="7"/>
        <v>0</v>
      </c>
      <c r="H59" s="52">
        <f t="shared" si="8"/>
        <v>0</v>
      </c>
      <c r="I59" s="65">
        <f t="shared" si="10"/>
        <v>0</v>
      </c>
      <c r="J59" s="65"/>
      <c r="K59" s="130"/>
      <c r="L59" s="67">
        <f t="shared" si="11"/>
        <v>0</v>
      </c>
      <c r="M59" s="130"/>
      <c r="N59" s="67">
        <f t="shared" si="12"/>
        <v>0</v>
      </c>
      <c r="O59" s="67">
        <f t="shared" si="13"/>
        <v>0</v>
      </c>
      <c r="P59" s="4"/>
    </row>
    <row r="60" spans="2:16" ht="12.5">
      <c r="B60" t="str">
        <f t="shared" si="0"/>
        <v/>
      </c>
      <c r="C60" s="62">
        <f>IF(D11="","-",+C59+1)</f>
        <v>2061</v>
      </c>
      <c r="D60" s="71">
        <f>IF(F59+SUM(E$17:E59)=D$10,F59,D$10-SUM(E$17:E59))</f>
        <v>0</v>
      </c>
      <c r="E60" s="69">
        <f t="shared" si="14"/>
        <v>0</v>
      </c>
      <c r="F60" s="68">
        <f t="shared" si="9"/>
        <v>0</v>
      </c>
      <c r="G60" s="70">
        <f t="shared" si="7"/>
        <v>0</v>
      </c>
      <c r="H60" s="52">
        <f t="shared" si="8"/>
        <v>0</v>
      </c>
      <c r="I60" s="65">
        <f t="shared" si="10"/>
        <v>0</v>
      </c>
      <c r="J60" s="65"/>
      <c r="K60" s="130"/>
      <c r="L60" s="67">
        <f t="shared" si="11"/>
        <v>0</v>
      </c>
      <c r="M60" s="130"/>
      <c r="N60" s="67">
        <f t="shared" si="12"/>
        <v>0</v>
      </c>
      <c r="O60" s="67">
        <f t="shared" si="13"/>
        <v>0</v>
      </c>
      <c r="P60" s="4"/>
    </row>
    <row r="61" spans="2:16" ht="12.5">
      <c r="B61" t="str">
        <f t="shared" si="0"/>
        <v/>
      </c>
      <c r="C61" s="62">
        <f>IF(D11="","-",+C60+1)</f>
        <v>2062</v>
      </c>
      <c r="D61" s="71">
        <f>IF(F60+SUM(E$17:E60)=D$10,F60,D$10-SUM(E$17:E60))</f>
        <v>0</v>
      </c>
      <c r="E61" s="69">
        <f t="shared" si="14"/>
        <v>0</v>
      </c>
      <c r="F61" s="68">
        <f t="shared" si="9"/>
        <v>0</v>
      </c>
      <c r="G61" s="72">
        <f t="shared" si="7"/>
        <v>0</v>
      </c>
      <c r="H61" s="52">
        <f t="shared" si="8"/>
        <v>0</v>
      </c>
      <c r="I61" s="65">
        <f t="shared" si="10"/>
        <v>0</v>
      </c>
      <c r="J61" s="65"/>
      <c r="K61" s="130"/>
      <c r="L61" s="67">
        <f t="shared" si="11"/>
        <v>0</v>
      </c>
      <c r="M61" s="130"/>
      <c r="N61" s="67">
        <f t="shared" si="12"/>
        <v>0</v>
      </c>
      <c r="O61" s="67">
        <f t="shared" si="13"/>
        <v>0</v>
      </c>
      <c r="P61" s="4"/>
    </row>
    <row r="62" spans="2:16" ht="12.5">
      <c r="B62" t="str">
        <f t="shared" si="0"/>
        <v/>
      </c>
      <c r="C62" s="62">
        <f>IF(D11="","-",+C61+1)</f>
        <v>2063</v>
      </c>
      <c r="D62" s="71">
        <f>IF(F61+SUM(E$17:E61)=D$10,F61,D$10-SUM(E$17:E61))</f>
        <v>0</v>
      </c>
      <c r="E62" s="69">
        <f t="shared" si="14"/>
        <v>0</v>
      </c>
      <c r="F62" s="68">
        <f t="shared" si="9"/>
        <v>0</v>
      </c>
      <c r="G62" s="72">
        <f t="shared" si="7"/>
        <v>0</v>
      </c>
      <c r="H62" s="52">
        <f t="shared" si="8"/>
        <v>0</v>
      </c>
      <c r="I62" s="65">
        <f t="shared" si="10"/>
        <v>0</v>
      </c>
      <c r="J62" s="65"/>
      <c r="K62" s="130"/>
      <c r="L62" s="67">
        <f t="shared" si="11"/>
        <v>0</v>
      </c>
      <c r="M62" s="130"/>
      <c r="N62" s="67">
        <f t="shared" si="12"/>
        <v>0</v>
      </c>
      <c r="O62" s="67">
        <f t="shared" si="13"/>
        <v>0</v>
      </c>
      <c r="P62" s="4"/>
    </row>
    <row r="63" spans="2:16" ht="12.5">
      <c r="B63" t="str">
        <f t="shared" si="0"/>
        <v/>
      </c>
      <c r="C63" s="62">
        <f>IF(D11="","-",+C62+1)</f>
        <v>2064</v>
      </c>
      <c r="D63" s="71">
        <f>IF(F62+SUM(E$17:E62)=D$10,F62,D$10-SUM(E$17:E62))</f>
        <v>0</v>
      </c>
      <c r="E63" s="69">
        <f t="shared" si="14"/>
        <v>0</v>
      </c>
      <c r="F63" s="68">
        <f t="shared" si="9"/>
        <v>0</v>
      </c>
      <c r="G63" s="72">
        <f t="shared" si="7"/>
        <v>0</v>
      </c>
      <c r="H63" s="52">
        <f t="shared" si="8"/>
        <v>0</v>
      </c>
      <c r="I63" s="65">
        <f t="shared" si="10"/>
        <v>0</v>
      </c>
      <c r="J63" s="65"/>
      <c r="K63" s="130"/>
      <c r="L63" s="67">
        <f t="shared" si="11"/>
        <v>0</v>
      </c>
      <c r="M63" s="130"/>
      <c r="N63" s="67">
        <f t="shared" si="12"/>
        <v>0</v>
      </c>
      <c r="O63" s="67">
        <f t="shared" si="13"/>
        <v>0</v>
      </c>
      <c r="P63" s="4"/>
    </row>
    <row r="64" spans="2:16" ht="12.5">
      <c r="B64" t="str">
        <f t="shared" si="0"/>
        <v/>
      </c>
      <c r="C64" s="62">
        <f>IF(D11="","-",+C63+1)</f>
        <v>2065</v>
      </c>
      <c r="D64" s="71">
        <f>IF(F63+SUM(E$17:E63)=D$10,F63,D$10-SUM(E$17:E63))</f>
        <v>0</v>
      </c>
      <c r="E64" s="69">
        <f t="shared" si="14"/>
        <v>0</v>
      </c>
      <c r="F64" s="68">
        <f t="shared" si="9"/>
        <v>0</v>
      </c>
      <c r="G64" s="72">
        <f t="shared" si="7"/>
        <v>0</v>
      </c>
      <c r="H64" s="52">
        <f t="shared" si="8"/>
        <v>0</v>
      </c>
      <c r="I64" s="65">
        <f t="shared" si="10"/>
        <v>0</v>
      </c>
      <c r="J64" s="65"/>
      <c r="K64" s="130"/>
      <c r="L64" s="67">
        <f t="shared" si="11"/>
        <v>0</v>
      </c>
      <c r="M64" s="130"/>
      <c r="N64" s="67">
        <f t="shared" si="12"/>
        <v>0</v>
      </c>
      <c r="O64" s="67">
        <f t="shared" si="13"/>
        <v>0</v>
      </c>
      <c r="P64" s="4"/>
    </row>
    <row r="65" spans="2:16" ht="12.5">
      <c r="B65" t="str">
        <f t="shared" si="0"/>
        <v/>
      </c>
      <c r="C65" s="62">
        <f>IF(D11="","-",+C64+1)</f>
        <v>2066</v>
      </c>
      <c r="D65" s="71">
        <f>IF(F64+SUM(E$17:E64)=D$10,F64,D$10-SUM(E$17:E64))</f>
        <v>0</v>
      </c>
      <c r="E65" s="69">
        <f t="shared" si="14"/>
        <v>0</v>
      </c>
      <c r="F65" s="68">
        <f t="shared" si="9"/>
        <v>0</v>
      </c>
      <c r="G65" s="72">
        <f t="shared" si="7"/>
        <v>0</v>
      </c>
      <c r="H65" s="52">
        <f t="shared" si="8"/>
        <v>0</v>
      </c>
      <c r="I65" s="65">
        <f t="shared" si="10"/>
        <v>0</v>
      </c>
      <c r="J65" s="65"/>
      <c r="K65" s="130"/>
      <c r="L65" s="67">
        <f t="shared" si="11"/>
        <v>0</v>
      </c>
      <c r="M65" s="130"/>
      <c r="N65" s="67">
        <f t="shared" si="12"/>
        <v>0</v>
      </c>
      <c r="O65" s="67">
        <f t="shared" si="13"/>
        <v>0</v>
      </c>
      <c r="P65" s="4"/>
    </row>
    <row r="66" spans="2:16" ht="12.5">
      <c r="B66" t="str">
        <f t="shared" si="0"/>
        <v/>
      </c>
      <c r="C66" s="62">
        <f>IF(D11="","-",+C65+1)</f>
        <v>2067</v>
      </c>
      <c r="D66" s="71">
        <f>IF(F65+SUM(E$17:E65)=D$10,F65,D$10-SUM(E$17:E65))</f>
        <v>0</v>
      </c>
      <c r="E66" s="69">
        <f t="shared" si="14"/>
        <v>0</v>
      </c>
      <c r="F66" s="68">
        <f t="shared" si="9"/>
        <v>0</v>
      </c>
      <c r="G66" s="72">
        <f t="shared" si="7"/>
        <v>0</v>
      </c>
      <c r="H66" s="52">
        <f t="shared" si="8"/>
        <v>0</v>
      </c>
      <c r="I66" s="65">
        <f t="shared" si="10"/>
        <v>0</v>
      </c>
      <c r="J66" s="65"/>
      <c r="K66" s="130"/>
      <c r="L66" s="67">
        <f t="shared" si="11"/>
        <v>0</v>
      </c>
      <c r="M66" s="130"/>
      <c r="N66" s="67">
        <f t="shared" si="12"/>
        <v>0</v>
      </c>
      <c r="O66" s="67">
        <f t="shared" si="13"/>
        <v>0</v>
      </c>
      <c r="P66" s="4"/>
    </row>
    <row r="67" spans="2:16" ht="12.5">
      <c r="B67" t="str">
        <f t="shared" si="0"/>
        <v/>
      </c>
      <c r="C67" s="62">
        <f>IF(D11="","-",+C66+1)</f>
        <v>2068</v>
      </c>
      <c r="D67" s="71">
        <f>IF(F66+SUM(E$17:E66)=D$10,F66,D$10-SUM(E$17:E66))</f>
        <v>0</v>
      </c>
      <c r="E67" s="69">
        <f t="shared" si="14"/>
        <v>0</v>
      </c>
      <c r="F67" s="68">
        <f t="shared" si="9"/>
        <v>0</v>
      </c>
      <c r="G67" s="72">
        <f t="shared" si="7"/>
        <v>0</v>
      </c>
      <c r="H67" s="52">
        <f t="shared" si="8"/>
        <v>0</v>
      </c>
      <c r="I67" s="65">
        <f t="shared" si="10"/>
        <v>0</v>
      </c>
      <c r="J67" s="65"/>
      <c r="K67" s="130"/>
      <c r="L67" s="67">
        <f t="shared" si="11"/>
        <v>0</v>
      </c>
      <c r="M67" s="130"/>
      <c r="N67" s="67">
        <f t="shared" si="12"/>
        <v>0</v>
      </c>
      <c r="O67" s="67">
        <f t="shared" si="13"/>
        <v>0</v>
      </c>
      <c r="P67" s="4"/>
    </row>
    <row r="68" spans="2:16" ht="12.5">
      <c r="B68" t="str">
        <f t="shared" si="0"/>
        <v/>
      </c>
      <c r="C68" s="62">
        <f>IF(D11="","-",+C67+1)</f>
        <v>2069</v>
      </c>
      <c r="D68" s="71">
        <f>IF(F67+SUM(E$17:E67)=D$10,F67,D$10-SUM(E$17:E67))</f>
        <v>0</v>
      </c>
      <c r="E68" s="69">
        <f t="shared" si="14"/>
        <v>0</v>
      </c>
      <c r="F68" s="68">
        <f t="shared" si="9"/>
        <v>0</v>
      </c>
      <c r="G68" s="72">
        <f t="shared" si="7"/>
        <v>0</v>
      </c>
      <c r="H68" s="52">
        <f t="shared" si="8"/>
        <v>0</v>
      </c>
      <c r="I68" s="65">
        <f t="shared" si="10"/>
        <v>0</v>
      </c>
      <c r="J68" s="65"/>
      <c r="K68" s="130"/>
      <c r="L68" s="67">
        <f t="shared" si="11"/>
        <v>0</v>
      </c>
      <c r="M68" s="130"/>
      <c r="N68" s="67">
        <f t="shared" si="12"/>
        <v>0</v>
      </c>
      <c r="O68" s="67">
        <f t="shared" si="13"/>
        <v>0</v>
      </c>
      <c r="P68" s="4"/>
    </row>
    <row r="69" spans="2:16" ht="12.5">
      <c r="B69" t="str">
        <f t="shared" si="0"/>
        <v/>
      </c>
      <c r="C69" s="62">
        <f>IF(D11="","-",+C68+1)</f>
        <v>2070</v>
      </c>
      <c r="D69" s="71">
        <f>IF(F68+SUM(E$17:E68)=D$10,F68,D$10-SUM(E$17:E68))</f>
        <v>0</v>
      </c>
      <c r="E69" s="69">
        <f t="shared" si="14"/>
        <v>0</v>
      </c>
      <c r="F69" s="68">
        <f t="shared" si="9"/>
        <v>0</v>
      </c>
      <c r="G69" s="72">
        <f t="shared" si="7"/>
        <v>0</v>
      </c>
      <c r="H69" s="52">
        <f t="shared" si="8"/>
        <v>0</v>
      </c>
      <c r="I69" s="65">
        <f t="shared" si="10"/>
        <v>0</v>
      </c>
      <c r="J69" s="65"/>
      <c r="K69" s="130"/>
      <c r="L69" s="67">
        <f t="shared" si="11"/>
        <v>0</v>
      </c>
      <c r="M69" s="130"/>
      <c r="N69" s="67">
        <f t="shared" si="12"/>
        <v>0</v>
      </c>
      <c r="O69" s="67">
        <f t="shared" si="13"/>
        <v>0</v>
      </c>
      <c r="P69" s="4"/>
    </row>
    <row r="70" spans="2:16" ht="12.5">
      <c r="B70" t="str">
        <f t="shared" si="0"/>
        <v/>
      </c>
      <c r="C70" s="62">
        <f>IF(D11="","-",+C69+1)</f>
        <v>2071</v>
      </c>
      <c r="D70" s="71">
        <f>IF(F69+SUM(E$17:E69)=D$10,F69,D$10-SUM(E$17:E69))</f>
        <v>0</v>
      </c>
      <c r="E70" s="69">
        <f t="shared" si="14"/>
        <v>0</v>
      </c>
      <c r="F70" s="68">
        <f t="shared" si="9"/>
        <v>0</v>
      </c>
      <c r="G70" s="72">
        <f t="shared" si="7"/>
        <v>0</v>
      </c>
      <c r="H70" s="52">
        <f t="shared" si="8"/>
        <v>0</v>
      </c>
      <c r="I70" s="65">
        <f t="shared" si="10"/>
        <v>0</v>
      </c>
      <c r="J70" s="65"/>
      <c r="K70" s="130"/>
      <c r="L70" s="67">
        <f t="shared" si="11"/>
        <v>0</v>
      </c>
      <c r="M70" s="130"/>
      <c r="N70" s="67">
        <f t="shared" si="12"/>
        <v>0</v>
      </c>
      <c r="O70" s="67">
        <f t="shared" si="13"/>
        <v>0</v>
      </c>
      <c r="P70" s="4"/>
    </row>
    <row r="71" spans="2:16" ht="12.5">
      <c r="B71" t="str">
        <f t="shared" si="0"/>
        <v/>
      </c>
      <c r="C71" s="62">
        <f>IF(D11="","-",+C70+1)</f>
        <v>2072</v>
      </c>
      <c r="D71" s="71">
        <f>IF(F70+SUM(E$17:E70)=D$10,F70,D$10-SUM(E$17:E70))</f>
        <v>0</v>
      </c>
      <c r="E71" s="69">
        <f t="shared" si="14"/>
        <v>0</v>
      </c>
      <c r="F71" s="68">
        <f t="shared" si="9"/>
        <v>0</v>
      </c>
      <c r="G71" s="72">
        <f t="shared" si="7"/>
        <v>0</v>
      </c>
      <c r="H71" s="52">
        <f t="shared" si="8"/>
        <v>0</v>
      </c>
      <c r="I71" s="65">
        <f t="shared" si="10"/>
        <v>0</v>
      </c>
      <c r="J71" s="65"/>
      <c r="K71" s="130"/>
      <c r="L71" s="67">
        <f t="shared" si="11"/>
        <v>0</v>
      </c>
      <c r="M71" s="130"/>
      <c r="N71" s="67">
        <f t="shared" si="12"/>
        <v>0</v>
      </c>
      <c r="O71" s="67">
        <f t="shared" si="13"/>
        <v>0</v>
      </c>
      <c r="P71" s="4"/>
    </row>
    <row r="72" spans="2:16" ht="12.5">
      <c r="C72" s="62">
        <f>IF(D12="","-",+C71+1)</f>
        <v>2073</v>
      </c>
      <c r="D72" s="71">
        <f>IF(F71+SUM(E$17:E71)=D$10,F71,D$10-SUM(E$17:E71))</f>
        <v>0</v>
      </c>
      <c r="E72" s="69">
        <f>IF(+I$14&lt;F71,I$14,D72)</f>
        <v>0</v>
      </c>
      <c r="F72" s="68">
        <f>+D72-E72</f>
        <v>0</v>
      </c>
      <c r="G72" s="72">
        <f>(D72+F72)/2*I$12+E72</f>
        <v>0</v>
      </c>
      <c r="H72" s="52">
        <f>+(D72+F72)/2*I$13+E72</f>
        <v>0</v>
      </c>
      <c r="I72" s="65">
        <f>H72-G72</f>
        <v>0</v>
      </c>
      <c r="J72" s="65"/>
      <c r="K72" s="130"/>
      <c r="L72" s="67">
        <f>IF(K72&lt;&gt;0,+G72-K72,0)</f>
        <v>0</v>
      </c>
      <c r="M72" s="130"/>
      <c r="N72" s="67">
        <f>IF(M72&lt;&gt;0,+H72-M72,0)</f>
        <v>0</v>
      </c>
      <c r="O72" s="67">
        <f>+N72-L72</f>
        <v>0</v>
      </c>
      <c r="P72" s="4"/>
    </row>
    <row r="73" spans="2:16" ht="13" thickBot="1">
      <c r="B73" t="str">
        <f>IF(D73=F71,"","IU")</f>
        <v/>
      </c>
      <c r="C73" s="73">
        <f>IF(D13="","-",+C72+1)</f>
        <v>2074</v>
      </c>
      <c r="D73" s="75">
        <f>IF(F72+SUM(E$17:E72)=D$10,F72,D$10-SUM(E$17:E72))</f>
        <v>0</v>
      </c>
      <c r="E73" s="75">
        <f>IF(+I$14&lt;F72,I$14,D73)</f>
        <v>0</v>
      </c>
      <c r="F73" s="74">
        <f>+D73-E73</f>
        <v>0</v>
      </c>
      <c r="G73" s="76">
        <f>(D73+F73)/2*I$12+E73</f>
        <v>0</v>
      </c>
      <c r="H73" s="34">
        <f>+(D73+F73)/2*I$13+E73</f>
        <v>0</v>
      </c>
      <c r="I73" s="77">
        <f>H73-G73</f>
        <v>0</v>
      </c>
      <c r="J73" s="65"/>
      <c r="K73" s="131"/>
      <c r="L73" s="78">
        <f>IF(K73&lt;&gt;0,+G73-K73,0)</f>
        <v>0</v>
      </c>
      <c r="M73" s="131"/>
      <c r="N73" s="78">
        <f>IF(M73&lt;&gt;0,+H73-M73,0)</f>
        <v>0</v>
      </c>
      <c r="O73" s="78">
        <f>+N73-L73</f>
        <v>0</v>
      </c>
      <c r="P73" s="4"/>
    </row>
    <row r="74" spans="2:16" ht="12.5">
      <c r="C74" s="63" t="s">
        <v>75</v>
      </c>
      <c r="D74" s="19"/>
      <c r="E74" s="19">
        <f>SUM(E17:E73)</f>
        <v>0</v>
      </c>
      <c r="F74" s="19"/>
      <c r="G74" s="19">
        <f>SUM(G17:G73)</f>
        <v>0</v>
      </c>
      <c r="H74" s="19">
        <f>SUM(H17:H73)</f>
        <v>0</v>
      </c>
      <c r="I74" s="19">
        <f>SUM(I17:I73)</f>
        <v>0</v>
      </c>
      <c r="J74" s="19"/>
      <c r="K74" s="19"/>
      <c r="L74" s="19"/>
      <c r="M74" s="19"/>
      <c r="N74" s="19"/>
      <c r="O74" s="4"/>
      <c r="P74" s="4"/>
    </row>
    <row r="75" spans="2:16" ht="12.5">
      <c r="D75" s="2"/>
      <c r="E75" s="1"/>
      <c r="F75" s="1"/>
      <c r="G75" s="1"/>
      <c r="H75" s="3"/>
      <c r="I75" s="3"/>
      <c r="J75" s="19"/>
      <c r="K75" s="3"/>
      <c r="L75" s="3"/>
      <c r="M75" s="3"/>
      <c r="N75" s="3"/>
      <c r="O75" s="1"/>
      <c r="P75" s="1"/>
    </row>
    <row r="76" spans="2:16" ht="13">
      <c r="C76" s="79" t="s">
        <v>95</v>
      </c>
      <c r="D76" s="2"/>
      <c r="E76" s="1"/>
      <c r="F76" s="1"/>
      <c r="G76" s="1"/>
      <c r="H76" s="3"/>
      <c r="I76" s="3"/>
      <c r="J76" s="19"/>
      <c r="K76" s="3"/>
      <c r="L76" s="3"/>
      <c r="M76" s="3"/>
      <c r="N76" s="3"/>
      <c r="O76" s="1"/>
      <c r="P76" s="1"/>
    </row>
    <row r="77" spans="2:16" ht="13">
      <c r="C77" s="31" t="s">
        <v>76</v>
      </c>
      <c r="D77" s="2"/>
      <c r="E77" s="1"/>
      <c r="F77" s="1"/>
      <c r="G77" s="1"/>
      <c r="H77" s="3"/>
      <c r="I77" s="3"/>
      <c r="J77" s="19"/>
      <c r="K77" s="3"/>
      <c r="L77" s="3"/>
      <c r="M77" s="3"/>
      <c r="N77" s="3"/>
      <c r="O77" s="4"/>
      <c r="P77" s="4"/>
    </row>
    <row r="78" spans="2:16" ht="13">
      <c r="C78" s="31" t="s">
        <v>77</v>
      </c>
      <c r="D78" s="63"/>
      <c r="E78" s="63"/>
      <c r="F78" s="63"/>
      <c r="G78" s="19"/>
      <c r="H78" s="19"/>
      <c r="I78" s="80"/>
      <c r="J78" s="80"/>
      <c r="K78" s="80"/>
      <c r="L78" s="80"/>
      <c r="M78" s="80"/>
      <c r="N78" s="80"/>
      <c r="O78" s="4"/>
      <c r="P78" s="4"/>
    </row>
    <row r="79" spans="2:16" ht="13">
      <c r="C79" s="31"/>
      <c r="D79" s="63"/>
      <c r="E79" s="63"/>
      <c r="F79" s="63"/>
      <c r="G79" s="19"/>
      <c r="H79" s="19"/>
      <c r="I79" s="80"/>
      <c r="J79" s="80"/>
      <c r="K79" s="80"/>
      <c r="L79" s="80"/>
      <c r="M79" s="80"/>
      <c r="N79" s="80"/>
      <c r="O79" s="4"/>
      <c r="P79" s="1"/>
    </row>
    <row r="80" spans="2:16" ht="12.5">
      <c r="B80" s="1"/>
      <c r="C80" s="9"/>
      <c r="D80" s="2"/>
      <c r="E80" s="1"/>
      <c r="F80" s="17"/>
      <c r="G80" s="1"/>
      <c r="H80" s="3"/>
      <c r="I80" s="1"/>
      <c r="J80" s="4"/>
      <c r="K80" s="1"/>
      <c r="L80" s="1"/>
      <c r="M80" s="1"/>
      <c r="N80" s="1"/>
      <c r="O80" s="1"/>
      <c r="P80" s="1"/>
    </row>
    <row r="81" spans="1:16" ht="17.5">
      <c r="B81" s="1"/>
      <c r="C81" s="109"/>
      <c r="D81" s="2"/>
      <c r="E81" s="1"/>
      <c r="F81" s="17"/>
      <c r="G81" s="1"/>
      <c r="H81" s="3"/>
      <c r="I81" s="1"/>
      <c r="J81" s="4"/>
      <c r="K81" s="1"/>
      <c r="L81" s="1"/>
      <c r="M81" s="1"/>
      <c r="N81" s="1"/>
      <c r="P81" s="111" t="s">
        <v>128</v>
      </c>
    </row>
    <row r="82" spans="1:16" ht="12.5">
      <c r="B82" s="1"/>
      <c r="C82" s="9"/>
      <c r="D82" s="2"/>
      <c r="E82" s="1"/>
      <c r="F82" s="17"/>
      <c r="G82" s="1"/>
      <c r="H82" s="3"/>
      <c r="I82" s="1"/>
      <c r="J82" s="4"/>
      <c r="K82" s="1"/>
      <c r="L82" s="1"/>
      <c r="M82" s="1"/>
      <c r="N82" s="1"/>
      <c r="O82" s="1"/>
      <c r="P82" s="1"/>
    </row>
    <row r="83" spans="1:16" ht="12.5">
      <c r="B83" s="1"/>
      <c r="C83" s="9"/>
      <c r="D83" s="2"/>
      <c r="E83" s="1"/>
      <c r="F83" s="17"/>
      <c r="G83" s="1"/>
      <c r="H83" s="3"/>
      <c r="I83" s="1"/>
      <c r="J83" s="4"/>
      <c r="K83" s="1"/>
      <c r="L83" s="1"/>
      <c r="M83" s="1"/>
      <c r="N83" s="1"/>
      <c r="O83" s="1"/>
      <c r="P83" s="1"/>
    </row>
    <row r="84" spans="1:16" ht="20">
      <c r="A84" s="110" t="s">
        <v>190</v>
      </c>
      <c r="B84" s="1"/>
      <c r="C84" s="9"/>
      <c r="D84" s="2"/>
      <c r="E84" s="1"/>
      <c r="F84" s="14"/>
      <c r="G84" s="14"/>
      <c r="H84" s="1"/>
      <c r="I84" s="3"/>
      <c r="K84" s="7"/>
      <c r="L84" s="18"/>
      <c r="M84" s="18"/>
      <c r="P84" s="18" t="str">
        <f ca="1">P1</f>
        <v>OKT Project nk of 19</v>
      </c>
    </row>
    <row r="85" spans="1:16" ht="17.5">
      <c r="B85" s="1"/>
      <c r="C85" s="1"/>
      <c r="D85" s="2"/>
      <c r="E85" s="1"/>
      <c r="F85" s="1"/>
      <c r="G85" s="1"/>
      <c r="H85" s="1"/>
      <c r="I85" s="3"/>
      <c r="J85" s="1"/>
      <c r="K85" s="4"/>
      <c r="L85" s="1"/>
      <c r="M85" s="1"/>
      <c r="P85" s="117" t="s">
        <v>132</v>
      </c>
    </row>
    <row r="86" spans="1:16" ht="17.5" thickBot="1">
      <c r="B86" s="5" t="s">
        <v>42</v>
      </c>
      <c r="C86" s="82" t="s">
        <v>81</v>
      </c>
      <c r="D86" s="2"/>
      <c r="E86" s="1"/>
      <c r="F86" s="1"/>
      <c r="G86" s="1"/>
      <c r="H86" s="1"/>
      <c r="I86" s="3"/>
      <c r="J86" s="3"/>
      <c r="K86" s="19"/>
      <c r="L86" s="3"/>
      <c r="M86" s="3"/>
      <c r="N86" s="3"/>
      <c r="O86" s="19"/>
      <c r="P86" s="1"/>
    </row>
    <row r="87" spans="1:16" ht="16" thickBot="1">
      <c r="C87" s="12"/>
      <c r="D87" s="2"/>
      <c r="E87" s="1"/>
      <c r="F87" s="1"/>
      <c r="G87" s="1"/>
      <c r="H87" s="1"/>
      <c r="I87" s="3"/>
      <c r="J87" s="3"/>
      <c r="K87" s="19"/>
      <c r="L87" s="118">
        <f>+J93</f>
        <v>2019</v>
      </c>
      <c r="M87" s="119" t="s">
        <v>9</v>
      </c>
      <c r="N87" s="120" t="s">
        <v>134</v>
      </c>
      <c r="O87" s="121" t="s">
        <v>11</v>
      </c>
      <c r="P87" s="1"/>
    </row>
    <row r="88" spans="1:16" ht="15.5">
      <c r="C88" s="107" t="s">
        <v>44</v>
      </c>
      <c r="D88" s="2"/>
      <c r="E88" s="1"/>
      <c r="F88" s="1"/>
      <c r="G88" s="1"/>
      <c r="H88" s="21"/>
      <c r="I88" s="1" t="s">
        <v>45</v>
      </c>
      <c r="J88" s="1"/>
      <c r="K88" s="122"/>
      <c r="L88" s="123" t="s">
        <v>253</v>
      </c>
      <c r="M88" s="83">
        <f>IF(J93&lt;D11,0,VLOOKUP(J93,C17:O73,9))</f>
        <v>0</v>
      </c>
      <c r="N88" s="83">
        <f>IF(J93&lt;D11,0,VLOOKUP(J93,C17:O73,11))</f>
        <v>0</v>
      </c>
      <c r="O88" s="84">
        <f>+N88-M88</f>
        <v>0</v>
      </c>
      <c r="P88" s="1"/>
    </row>
    <row r="89" spans="1:16" ht="15.5">
      <c r="C89" s="8"/>
      <c r="D89" s="2"/>
      <c r="E89" s="1"/>
      <c r="F89" s="1"/>
      <c r="G89" s="1"/>
      <c r="H89" s="1"/>
      <c r="I89" s="26"/>
      <c r="J89" s="26"/>
      <c r="K89" s="124"/>
      <c r="L89" s="125" t="s">
        <v>254</v>
      </c>
      <c r="M89" s="85">
        <f>IF(J93&lt;D11,0,VLOOKUP(J93,C100:P155,6))</f>
        <v>0</v>
      </c>
      <c r="N89" s="85">
        <f>IF(J93&lt;D11,0,VLOOKUP(J93,C100:P155,7))</f>
        <v>0</v>
      </c>
      <c r="O89" s="86">
        <f>+N89-M89</f>
        <v>0</v>
      </c>
      <c r="P89" s="1"/>
    </row>
    <row r="90" spans="1:16" ht="13.5" thickBot="1">
      <c r="C90" s="31" t="s">
        <v>82</v>
      </c>
      <c r="D90" s="113" t="str">
        <f>+D7</f>
        <v>insert project name here</v>
      </c>
      <c r="E90" s="1"/>
      <c r="F90" s="1"/>
      <c r="G90" s="1"/>
      <c r="H90" s="1"/>
      <c r="I90" s="3"/>
      <c r="J90" s="3"/>
      <c r="K90" s="126"/>
      <c r="L90" s="127" t="s">
        <v>135</v>
      </c>
      <c r="M90" s="88">
        <f>+M89-M88</f>
        <v>0</v>
      </c>
      <c r="N90" s="88">
        <f>+N89-N88</f>
        <v>0</v>
      </c>
      <c r="O90" s="89">
        <f>+O89-O88</f>
        <v>0</v>
      </c>
      <c r="P90" s="1"/>
    </row>
    <row r="91" spans="1:16" ht="13.5" thickBot="1">
      <c r="C91" s="79"/>
      <c r="D91" s="81" t="str">
        <f>IF(D8="","",D8)</f>
        <v>DOES NOT MEET SPP $100,000 MINIMUM INVESTMENT FOR REGIONAL BPU SHARING.</v>
      </c>
      <c r="E91" s="17"/>
      <c r="F91" s="17"/>
      <c r="G91" s="17"/>
      <c r="H91" s="36"/>
      <c r="I91" s="3"/>
      <c r="J91" s="3"/>
      <c r="K91" s="19"/>
      <c r="L91" s="3"/>
      <c r="M91" s="3"/>
      <c r="N91" s="3"/>
      <c r="O91" s="19"/>
      <c r="P91" s="1"/>
    </row>
    <row r="92" spans="1:16" ht="13.5" thickBot="1">
      <c r="A92" s="16"/>
      <c r="C92" s="90" t="s">
        <v>83</v>
      </c>
      <c r="D92" s="105" t="str">
        <f>+D9</f>
        <v>TP2004033</v>
      </c>
      <c r="E92" s="91"/>
      <c r="F92" s="91"/>
      <c r="G92" s="91"/>
      <c r="H92" s="91"/>
      <c r="I92" s="91"/>
      <c r="J92" s="91"/>
      <c r="K92" s="92"/>
      <c r="P92" s="41"/>
    </row>
    <row r="93" spans="1:16" ht="13">
      <c r="C93" s="46" t="s">
        <v>49</v>
      </c>
      <c r="D93" s="102">
        <v>0</v>
      </c>
      <c r="E93" s="9" t="s">
        <v>84</v>
      </c>
      <c r="H93" s="44"/>
      <c r="I93" s="44"/>
      <c r="J93" s="45">
        <f>+'OKT.WS.G.BPU.ATRR.True-up'!M16</f>
        <v>2019</v>
      </c>
      <c r="K93" s="40"/>
      <c r="L93" s="19" t="s">
        <v>85</v>
      </c>
      <c r="P93" s="4"/>
    </row>
    <row r="94" spans="1:16" ht="12.5">
      <c r="C94" s="46" t="s">
        <v>52</v>
      </c>
      <c r="D94" s="102">
        <f>IF(D11="","",D11)</f>
        <v>2018</v>
      </c>
      <c r="E94" s="46" t="s">
        <v>53</v>
      </c>
      <c r="F94" s="44"/>
      <c r="G94" s="44"/>
      <c r="J94" s="48">
        <f>IF(H88="",0,'OKT.WS.G.BPU.ATRR.True-up'!$F$13)</f>
        <v>0</v>
      </c>
      <c r="K94" s="49"/>
      <c r="L94" t="str">
        <f>"          INPUT TRUE-UP ARR (WITH &amp; WITHOUT INCENTIVES) FROM EACH PRIOR YEAR"</f>
        <v xml:space="preserve">          INPUT TRUE-UP ARR (WITH &amp; WITHOUT INCENTIVES) FROM EACH PRIOR YEAR</v>
      </c>
      <c r="P94" s="4"/>
    </row>
    <row r="95" spans="1:16" ht="12.5">
      <c r="C95" s="46" t="s">
        <v>54</v>
      </c>
      <c r="D95" s="102">
        <f>IF(D12="","",D12)</f>
        <v>4</v>
      </c>
      <c r="E95" s="46" t="s">
        <v>55</v>
      </c>
      <c r="F95" s="44"/>
      <c r="G95" s="44"/>
      <c r="J95" s="50">
        <f>'OKT.WS.G.BPU.ATRR.True-up'!$F$81</f>
        <v>0.10800922592579221</v>
      </c>
      <c r="K95" s="51"/>
      <c r="L95" t="s">
        <v>86</v>
      </c>
      <c r="P95" s="4"/>
    </row>
    <row r="96" spans="1:16" ht="12.5">
      <c r="C96" s="46" t="s">
        <v>57</v>
      </c>
      <c r="D96" s="48">
        <f>'OKT.WS.G.BPU.ATRR.True-up'!F$93</f>
        <v>33</v>
      </c>
      <c r="E96" s="46" t="s">
        <v>58</v>
      </c>
      <c r="F96" s="44"/>
      <c r="G96" s="44"/>
      <c r="J96" s="50">
        <f>IF(H88="",J95,'OKT.WS.G.BPU.ATRR.True-up'!$F$80)</f>
        <v>0.10800922592579221</v>
      </c>
      <c r="K96" s="10"/>
      <c r="L96" s="19" t="s">
        <v>59</v>
      </c>
      <c r="M96" s="10"/>
      <c r="N96" s="10"/>
      <c r="O96" s="10"/>
      <c r="P96" s="4"/>
    </row>
    <row r="97" spans="1:16" ht="13" thickBot="1">
      <c r="C97" s="46" t="s">
        <v>60</v>
      </c>
      <c r="D97" s="103" t="str">
        <f>+D14</f>
        <v>No</v>
      </c>
      <c r="E97" s="87" t="s">
        <v>62</v>
      </c>
      <c r="F97" s="93"/>
      <c r="G97" s="93"/>
      <c r="H97" s="94"/>
      <c r="I97" s="94"/>
      <c r="J97" s="34">
        <f>IF(D93=0,0,D93/D96)</f>
        <v>0</v>
      </c>
      <c r="K97" s="19"/>
      <c r="L97" s="19"/>
      <c r="M97" s="19"/>
      <c r="N97" s="19"/>
      <c r="O97" s="19"/>
      <c r="P97" s="4"/>
    </row>
    <row r="98" spans="1:16" ht="39">
      <c r="A98" s="6"/>
      <c r="B98" s="6"/>
      <c r="C98" s="95" t="s">
        <v>49</v>
      </c>
      <c r="D98" s="141" t="s">
        <v>193</v>
      </c>
      <c r="E98" s="56" t="s">
        <v>63</v>
      </c>
      <c r="F98" s="56" t="s">
        <v>64</v>
      </c>
      <c r="G98" s="54" t="s">
        <v>87</v>
      </c>
      <c r="H98" s="143" t="s">
        <v>251</v>
      </c>
      <c r="I98" s="144" t="s">
        <v>252</v>
      </c>
      <c r="J98" s="95" t="s">
        <v>88</v>
      </c>
      <c r="K98" s="96"/>
      <c r="L98" s="56" t="s">
        <v>91</v>
      </c>
      <c r="M98" s="56" t="s">
        <v>89</v>
      </c>
      <c r="N98" s="56" t="s">
        <v>91</v>
      </c>
      <c r="O98" s="56" t="s">
        <v>89</v>
      </c>
      <c r="P98" s="56" t="s">
        <v>67</v>
      </c>
    </row>
    <row r="99" spans="1:16" ht="13.5" thickBot="1">
      <c r="C99" s="57" t="s">
        <v>68</v>
      </c>
      <c r="D99" s="97" t="s">
        <v>69</v>
      </c>
      <c r="E99" s="57" t="s">
        <v>70</v>
      </c>
      <c r="F99" s="57" t="s">
        <v>69</v>
      </c>
      <c r="G99" s="57" t="s">
        <v>69</v>
      </c>
      <c r="H99" s="135" t="s">
        <v>71</v>
      </c>
      <c r="I99" s="58" t="s">
        <v>72</v>
      </c>
      <c r="J99" s="59" t="s">
        <v>93</v>
      </c>
      <c r="K99" s="60"/>
      <c r="L99" s="61" t="s">
        <v>74</v>
      </c>
      <c r="M99" s="61" t="s">
        <v>74</v>
      </c>
      <c r="N99" s="61" t="s">
        <v>94</v>
      </c>
      <c r="O99" s="61" t="s">
        <v>94</v>
      </c>
      <c r="P99" s="61" t="s">
        <v>94</v>
      </c>
    </row>
    <row r="100" spans="1:16" ht="12.5">
      <c r="B100" t="str">
        <f t="shared" ref="B100:B155" si="15">IF(D100=F99,"","IU")</f>
        <v>IU</v>
      </c>
      <c r="C100" s="62">
        <f>IF(D94= "","-",D94)</f>
        <v>2018</v>
      </c>
      <c r="D100" s="63">
        <f>IF(D94=C100,0,IF(D93&lt;100000,0,D93))</f>
        <v>0</v>
      </c>
      <c r="E100" s="70">
        <f>IF(D93&lt;100000,0,J$97/12*(12-D95))</f>
        <v>0</v>
      </c>
      <c r="F100" s="68">
        <f>IF(D94=C100,+D93-E100,+D100-E100)</f>
        <v>0</v>
      </c>
      <c r="G100" s="98">
        <f>+(F100+D100)/2</f>
        <v>0</v>
      </c>
      <c r="H100" s="98">
        <f t="shared" ref="H100:H155" si="16">+J$95*G100+E100</f>
        <v>0</v>
      </c>
      <c r="I100" s="98">
        <f>+J$96*G100+E100</f>
        <v>0</v>
      </c>
      <c r="J100" s="67">
        <f t="shared" ref="J100:J131" si="17">+I100-H100</f>
        <v>0</v>
      </c>
      <c r="K100" s="67"/>
      <c r="L100" s="129"/>
      <c r="M100" s="66">
        <f t="shared" ref="M100:M131" si="18">IF(L100&lt;&gt;0,+H100-L100,0)</f>
        <v>0</v>
      </c>
      <c r="N100" s="129"/>
      <c r="O100" s="66">
        <f t="shared" ref="O100:O131" si="19">IF(N100&lt;&gt;0,+I100-N100,0)</f>
        <v>0</v>
      </c>
      <c r="P100" s="66">
        <f t="shared" ref="P100:P131" si="20">+O100-M100</f>
        <v>0</v>
      </c>
    </row>
    <row r="101" spans="1:16" ht="12.5">
      <c r="B101" t="str">
        <f t="shared" si="15"/>
        <v/>
      </c>
      <c r="C101" s="62">
        <f>IF(D94="","-",+C100+1)</f>
        <v>2019</v>
      </c>
      <c r="D101" s="63">
        <f>IF(F100+SUM(E$100:E100)=D$93,F100,D$93-SUM(E$100:E100))</f>
        <v>0</v>
      </c>
      <c r="E101" s="69">
        <f t="shared" ref="E101:E132" si="21">IF(+J$97&lt;F100,J$97,D101)</f>
        <v>0</v>
      </c>
      <c r="F101" s="68">
        <f t="shared" ref="F101:F131" si="22">+D101-E101</f>
        <v>0</v>
      </c>
      <c r="G101" s="68">
        <f t="shared" ref="G101:G131" si="23">+(F101+D101)/2</f>
        <v>0</v>
      </c>
      <c r="H101" s="128">
        <f t="shared" si="16"/>
        <v>0</v>
      </c>
      <c r="I101" s="137">
        <f t="shared" ref="I101:I155" si="24">+J$96*G101+E101</f>
        <v>0</v>
      </c>
      <c r="J101" s="67">
        <f t="shared" si="17"/>
        <v>0</v>
      </c>
      <c r="K101" s="67"/>
      <c r="L101" s="130"/>
      <c r="M101" s="67">
        <f t="shared" si="18"/>
        <v>0</v>
      </c>
      <c r="N101" s="130"/>
      <c r="O101" s="67">
        <f t="shared" si="19"/>
        <v>0</v>
      </c>
      <c r="P101" s="67">
        <f t="shared" si="20"/>
        <v>0</v>
      </c>
    </row>
    <row r="102" spans="1:16" ht="12.5">
      <c r="B102" t="str">
        <f t="shared" si="15"/>
        <v/>
      </c>
      <c r="C102" s="62">
        <f>IF(D94="","-",+C101+1)</f>
        <v>2020</v>
      </c>
      <c r="D102" s="63">
        <f>IF(F101+SUM(E$100:E101)=D$93,F101,D$93-SUM(E$100:E101))</f>
        <v>0</v>
      </c>
      <c r="E102" s="69">
        <f t="shared" si="21"/>
        <v>0</v>
      </c>
      <c r="F102" s="68">
        <f t="shared" si="22"/>
        <v>0</v>
      </c>
      <c r="G102" s="68">
        <f t="shared" si="23"/>
        <v>0</v>
      </c>
      <c r="H102" s="128">
        <f t="shared" si="16"/>
        <v>0</v>
      </c>
      <c r="I102" s="137">
        <f t="shared" si="24"/>
        <v>0</v>
      </c>
      <c r="J102" s="67">
        <f t="shared" si="17"/>
        <v>0</v>
      </c>
      <c r="K102" s="67"/>
      <c r="L102" s="130"/>
      <c r="M102" s="67">
        <f t="shared" si="18"/>
        <v>0</v>
      </c>
      <c r="N102" s="130"/>
      <c r="O102" s="67">
        <f t="shared" si="19"/>
        <v>0</v>
      </c>
      <c r="P102" s="67">
        <f t="shared" si="20"/>
        <v>0</v>
      </c>
    </row>
    <row r="103" spans="1:16" ht="12.5">
      <c r="B103" t="str">
        <f t="shared" si="15"/>
        <v/>
      </c>
      <c r="C103" s="62">
        <f>IF(D94="","-",+C102+1)</f>
        <v>2021</v>
      </c>
      <c r="D103" s="63">
        <f>IF(F102+SUM(E$100:E102)=D$93,F102,D$93-SUM(E$100:E102))</f>
        <v>0</v>
      </c>
      <c r="E103" s="69">
        <f t="shared" si="21"/>
        <v>0</v>
      </c>
      <c r="F103" s="68">
        <f t="shared" si="22"/>
        <v>0</v>
      </c>
      <c r="G103" s="68">
        <f t="shared" si="23"/>
        <v>0</v>
      </c>
      <c r="H103" s="128">
        <f t="shared" si="16"/>
        <v>0</v>
      </c>
      <c r="I103" s="137">
        <f t="shared" si="24"/>
        <v>0</v>
      </c>
      <c r="J103" s="67">
        <f t="shared" si="17"/>
        <v>0</v>
      </c>
      <c r="K103" s="67"/>
      <c r="L103" s="130"/>
      <c r="M103" s="67">
        <f t="shared" si="18"/>
        <v>0</v>
      </c>
      <c r="N103" s="130"/>
      <c r="O103" s="67">
        <f t="shared" si="19"/>
        <v>0</v>
      </c>
      <c r="P103" s="67">
        <f t="shared" si="20"/>
        <v>0</v>
      </c>
    </row>
    <row r="104" spans="1:16" ht="12.5">
      <c r="B104" t="str">
        <f t="shared" si="15"/>
        <v/>
      </c>
      <c r="C104" s="62">
        <f>IF(D94="","-",+C103+1)</f>
        <v>2022</v>
      </c>
      <c r="D104" s="63">
        <f>IF(F103+SUM(E$100:E103)=D$93,F103,D$93-SUM(E$100:E103))</f>
        <v>0</v>
      </c>
      <c r="E104" s="69">
        <f t="shared" si="21"/>
        <v>0</v>
      </c>
      <c r="F104" s="68">
        <f t="shared" si="22"/>
        <v>0</v>
      </c>
      <c r="G104" s="68">
        <f t="shared" si="23"/>
        <v>0</v>
      </c>
      <c r="H104" s="128">
        <f t="shared" si="16"/>
        <v>0</v>
      </c>
      <c r="I104" s="137">
        <f t="shared" si="24"/>
        <v>0</v>
      </c>
      <c r="J104" s="67">
        <f t="shared" si="17"/>
        <v>0</v>
      </c>
      <c r="K104" s="67"/>
      <c r="L104" s="130"/>
      <c r="M104" s="67">
        <f t="shared" si="18"/>
        <v>0</v>
      </c>
      <c r="N104" s="130"/>
      <c r="O104" s="67">
        <f t="shared" si="19"/>
        <v>0</v>
      </c>
      <c r="P104" s="67">
        <f t="shared" si="20"/>
        <v>0</v>
      </c>
    </row>
    <row r="105" spans="1:16" ht="12.5">
      <c r="B105" t="str">
        <f t="shared" si="15"/>
        <v/>
      </c>
      <c r="C105" s="62">
        <f>IF(D94="","-",+C104+1)</f>
        <v>2023</v>
      </c>
      <c r="D105" s="63">
        <f>IF(F104+SUM(E$100:E104)=D$93,F104,D$93-SUM(E$100:E104))</f>
        <v>0</v>
      </c>
      <c r="E105" s="69">
        <f t="shared" si="21"/>
        <v>0</v>
      </c>
      <c r="F105" s="68">
        <f t="shared" si="22"/>
        <v>0</v>
      </c>
      <c r="G105" s="68">
        <f t="shared" si="23"/>
        <v>0</v>
      </c>
      <c r="H105" s="128">
        <f t="shared" si="16"/>
        <v>0</v>
      </c>
      <c r="I105" s="137">
        <f t="shared" si="24"/>
        <v>0</v>
      </c>
      <c r="J105" s="67">
        <f t="shared" si="17"/>
        <v>0</v>
      </c>
      <c r="K105" s="67"/>
      <c r="L105" s="130"/>
      <c r="M105" s="67">
        <f t="shared" si="18"/>
        <v>0</v>
      </c>
      <c r="N105" s="130"/>
      <c r="O105" s="67">
        <f t="shared" si="19"/>
        <v>0</v>
      </c>
      <c r="P105" s="67">
        <f t="shared" si="20"/>
        <v>0</v>
      </c>
    </row>
    <row r="106" spans="1:16" ht="12.5">
      <c r="B106" t="str">
        <f t="shared" si="15"/>
        <v/>
      </c>
      <c r="C106" s="62">
        <f>IF(D94="","-",+C105+1)</f>
        <v>2024</v>
      </c>
      <c r="D106" s="63">
        <f>IF(F105+SUM(E$100:E105)=D$93,F105,D$93-SUM(E$100:E105))</f>
        <v>0</v>
      </c>
      <c r="E106" s="69">
        <f t="shared" si="21"/>
        <v>0</v>
      </c>
      <c r="F106" s="68">
        <f t="shared" si="22"/>
        <v>0</v>
      </c>
      <c r="G106" s="68">
        <f t="shared" si="23"/>
        <v>0</v>
      </c>
      <c r="H106" s="128">
        <f t="shared" si="16"/>
        <v>0</v>
      </c>
      <c r="I106" s="137">
        <f t="shared" si="24"/>
        <v>0</v>
      </c>
      <c r="J106" s="67">
        <f t="shared" si="17"/>
        <v>0</v>
      </c>
      <c r="K106" s="67"/>
      <c r="L106" s="130"/>
      <c r="M106" s="67">
        <f t="shared" si="18"/>
        <v>0</v>
      </c>
      <c r="N106" s="130"/>
      <c r="O106" s="67">
        <f t="shared" si="19"/>
        <v>0</v>
      </c>
      <c r="P106" s="67">
        <f t="shared" si="20"/>
        <v>0</v>
      </c>
    </row>
    <row r="107" spans="1:16" ht="12.5">
      <c r="B107" t="str">
        <f t="shared" si="15"/>
        <v/>
      </c>
      <c r="C107" s="62">
        <f>IF(D94="","-",+C106+1)</f>
        <v>2025</v>
      </c>
      <c r="D107" s="63">
        <f>IF(F106+SUM(E$100:E106)=D$93,F106,D$93-SUM(E$100:E106))</f>
        <v>0</v>
      </c>
      <c r="E107" s="69">
        <f t="shared" si="21"/>
        <v>0</v>
      </c>
      <c r="F107" s="68">
        <f t="shared" si="22"/>
        <v>0</v>
      </c>
      <c r="G107" s="68">
        <f t="shared" si="23"/>
        <v>0</v>
      </c>
      <c r="H107" s="128">
        <f t="shared" si="16"/>
        <v>0</v>
      </c>
      <c r="I107" s="137">
        <f t="shared" si="24"/>
        <v>0</v>
      </c>
      <c r="J107" s="67">
        <f t="shared" si="17"/>
        <v>0</v>
      </c>
      <c r="K107" s="67"/>
      <c r="L107" s="130"/>
      <c r="M107" s="67">
        <f t="shared" si="18"/>
        <v>0</v>
      </c>
      <c r="N107" s="130"/>
      <c r="O107" s="67">
        <f t="shared" si="19"/>
        <v>0</v>
      </c>
      <c r="P107" s="67">
        <f t="shared" si="20"/>
        <v>0</v>
      </c>
    </row>
    <row r="108" spans="1:16" ht="12.5">
      <c r="B108" t="str">
        <f t="shared" si="15"/>
        <v/>
      </c>
      <c r="C108" s="62">
        <f>IF(D94="","-",+C107+1)</f>
        <v>2026</v>
      </c>
      <c r="D108" s="63">
        <f>IF(F107+SUM(E$100:E107)=D$93,F107,D$93-SUM(E$100:E107))</f>
        <v>0</v>
      </c>
      <c r="E108" s="69">
        <f t="shared" si="21"/>
        <v>0</v>
      </c>
      <c r="F108" s="68">
        <f t="shared" si="22"/>
        <v>0</v>
      </c>
      <c r="G108" s="68">
        <f t="shared" si="23"/>
        <v>0</v>
      </c>
      <c r="H108" s="128">
        <f t="shared" si="16"/>
        <v>0</v>
      </c>
      <c r="I108" s="137">
        <f t="shared" si="24"/>
        <v>0</v>
      </c>
      <c r="J108" s="67">
        <f t="shared" si="17"/>
        <v>0</v>
      </c>
      <c r="K108" s="67"/>
      <c r="L108" s="130"/>
      <c r="M108" s="67">
        <f t="shared" si="18"/>
        <v>0</v>
      </c>
      <c r="N108" s="130"/>
      <c r="O108" s="67">
        <f t="shared" si="19"/>
        <v>0</v>
      </c>
      <c r="P108" s="67">
        <f t="shared" si="20"/>
        <v>0</v>
      </c>
    </row>
    <row r="109" spans="1:16" ht="12.5">
      <c r="B109" t="str">
        <f t="shared" si="15"/>
        <v/>
      </c>
      <c r="C109" s="62">
        <f>IF(D94="","-",+C108+1)</f>
        <v>2027</v>
      </c>
      <c r="D109" s="63">
        <f>IF(F108+SUM(E$100:E108)=D$93,F108,D$93-SUM(E$100:E108))</f>
        <v>0</v>
      </c>
      <c r="E109" s="69">
        <f t="shared" si="21"/>
        <v>0</v>
      </c>
      <c r="F109" s="68">
        <f t="shared" si="22"/>
        <v>0</v>
      </c>
      <c r="G109" s="68">
        <f t="shared" si="23"/>
        <v>0</v>
      </c>
      <c r="H109" s="128">
        <f t="shared" si="16"/>
        <v>0</v>
      </c>
      <c r="I109" s="137">
        <f t="shared" si="24"/>
        <v>0</v>
      </c>
      <c r="J109" s="67">
        <f t="shared" si="17"/>
        <v>0</v>
      </c>
      <c r="K109" s="67"/>
      <c r="L109" s="130"/>
      <c r="M109" s="67">
        <f t="shared" si="18"/>
        <v>0</v>
      </c>
      <c r="N109" s="130"/>
      <c r="O109" s="67">
        <f t="shared" si="19"/>
        <v>0</v>
      </c>
      <c r="P109" s="67">
        <f t="shared" si="20"/>
        <v>0</v>
      </c>
    </row>
    <row r="110" spans="1:16" ht="12.5">
      <c r="B110" t="str">
        <f t="shared" si="15"/>
        <v/>
      </c>
      <c r="C110" s="62">
        <f>IF(D94="","-",+C109+1)</f>
        <v>2028</v>
      </c>
      <c r="D110" s="63">
        <f>IF(F109+SUM(E$100:E109)=D$93,F109,D$93-SUM(E$100:E109))</f>
        <v>0</v>
      </c>
      <c r="E110" s="69">
        <f t="shared" si="21"/>
        <v>0</v>
      </c>
      <c r="F110" s="68">
        <f t="shared" si="22"/>
        <v>0</v>
      </c>
      <c r="G110" s="68">
        <f t="shared" si="23"/>
        <v>0</v>
      </c>
      <c r="H110" s="128">
        <f t="shared" si="16"/>
        <v>0</v>
      </c>
      <c r="I110" s="137">
        <f t="shared" si="24"/>
        <v>0</v>
      </c>
      <c r="J110" s="67">
        <f t="shared" si="17"/>
        <v>0</v>
      </c>
      <c r="K110" s="67"/>
      <c r="L110" s="130"/>
      <c r="M110" s="67">
        <f t="shared" si="18"/>
        <v>0</v>
      </c>
      <c r="N110" s="130"/>
      <c r="O110" s="67">
        <f t="shared" si="19"/>
        <v>0</v>
      </c>
      <c r="P110" s="67">
        <f t="shared" si="20"/>
        <v>0</v>
      </c>
    </row>
    <row r="111" spans="1:16" ht="12.5">
      <c r="B111" t="str">
        <f t="shared" si="15"/>
        <v/>
      </c>
      <c r="C111" s="62">
        <f>IF(D94="","-",+C110+1)</f>
        <v>2029</v>
      </c>
      <c r="D111" s="63">
        <f>IF(F110+SUM(E$100:E110)=D$93,F110,D$93-SUM(E$100:E110))</f>
        <v>0</v>
      </c>
      <c r="E111" s="69">
        <f t="shared" si="21"/>
        <v>0</v>
      </c>
      <c r="F111" s="68">
        <f t="shared" si="22"/>
        <v>0</v>
      </c>
      <c r="G111" s="68">
        <f t="shared" si="23"/>
        <v>0</v>
      </c>
      <c r="H111" s="128">
        <f t="shared" si="16"/>
        <v>0</v>
      </c>
      <c r="I111" s="137">
        <f t="shared" si="24"/>
        <v>0</v>
      </c>
      <c r="J111" s="67">
        <f t="shared" si="17"/>
        <v>0</v>
      </c>
      <c r="K111" s="67"/>
      <c r="L111" s="130"/>
      <c r="M111" s="67">
        <f t="shared" si="18"/>
        <v>0</v>
      </c>
      <c r="N111" s="130"/>
      <c r="O111" s="67">
        <f t="shared" si="19"/>
        <v>0</v>
      </c>
      <c r="P111" s="67">
        <f t="shared" si="20"/>
        <v>0</v>
      </c>
    </row>
    <row r="112" spans="1:16" ht="12.5">
      <c r="B112" t="str">
        <f t="shared" si="15"/>
        <v/>
      </c>
      <c r="C112" s="62">
        <f>IF(D94="","-",+C111+1)</f>
        <v>2030</v>
      </c>
      <c r="D112" s="63">
        <f>IF(F111+SUM(E$100:E111)=D$93,F111,D$93-SUM(E$100:E111))</f>
        <v>0</v>
      </c>
      <c r="E112" s="69">
        <f t="shared" si="21"/>
        <v>0</v>
      </c>
      <c r="F112" s="68">
        <f t="shared" si="22"/>
        <v>0</v>
      </c>
      <c r="G112" s="68">
        <f t="shared" si="23"/>
        <v>0</v>
      </c>
      <c r="H112" s="128">
        <f t="shared" si="16"/>
        <v>0</v>
      </c>
      <c r="I112" s="137">
        <f t="shared" si="24"/>
        <v>0</v>
      </c>
      <c r="J112" s="67">
        <f t="shared" si="17"/>
        <v>0</v>
      </c>
      <c r="K112" s="67"/>
      <c r="L112" s="130"/>
      <c r="M112" s="67">
        <f t="shared" si="18"/>
        <v>0</v>
      </c>
      <c r="N112" s="130"/>
      <c r="O112" s="67">
        <f t="shared" si="19"/>
        <v>0</v>
      </c>
      <c r="P112" s="67">
        <f t="shared" si="20"/>
        <v>0</v>
      </c>
    </row>
    <row r="113" spans="2:16" ht="12.5">
      <c r="B113" t="str">
        <f t="shared" si="15"/>
        <v/>
      </c>
      <c r="C113" s="62">
        <f>IF(D94="","-",+C112+1)</f>
        <v>2031</v>
      </c>
      <c r="D113" s="63">
        <f>IF(F112+SUM(E$100:E112)=D$93,F112,D$93-SUM(E$100:E112))</f>
        <v>0</v>
      </c>
      <c r="E113" s="69">
        <f t="shared" si="21"/>
        <v>0</v>
      </c>
      <c r="F113" s="68">
        <f t="shared" si="22"/>
        <v>0</v>
      </c>
      <c r="G113" s="68">
        <f t="shared" si="23"/>
        <v>0</v>
      </c>
      <c r="H113" s="128">
        <f t="shared" si="16"/>
        <v>0</v>
      </c>
      <c r="I113" s="137">
        <f t="shared" si="24"/>
        <v>0</v>
      </c>
      <c r="J113" s="67">
        <f t="shared" si="17"/>
        <v>0</v>
      </c>
      <c r="K113" s="67"/>
      <c r="L113" s="130"/>
      <c r="M113" s="67">
        <f t="shared" si="18"/>
        <v>0</v>
      </c>
      <c r="N113" s="130"/>
      <c r="O113" s="67">
        <f t="shared" si="19"/>
        <v>0</v>
      </c>
      <c r="P113" s="67">
        <f t="shared" si="20"/>
        <v>0</v>
      </c>
    </row>
    <row r="114" spans="2:16" ht="12.5">
      <c r="B114" t="str">
        <f t="shared" si="15"/>
        <v/>
      </c>
      <c r="C114" s="62">
        <f>IF(D94="","-",+C113+1)</f>
        <v>2032</v>
      </c>
      <c r="D114" s="63">
        <f>IF(F113+SUM(E$100:E113)=D$93,F113,D$93-SUM(E$100:E113))</f>
        <v>0</v>
      </c>
      <c r="E114" s="69">
        <f t="shared" si="21"/>
        <v>0</v>
      </c>
      <c r="F114" s="68">
        <f t="shared" si="22"/>
        <v>0</v>
      </c>
      <c r="G114" s="68">
        <f t="shared" si="23"/>
        <v>0</v>
      </c>
      <c r="H114" s="128">
        <f t="shared" si="16"/>
        <v>0</v>
      </c>
      <c r="I114" s="137">
        <f t="shared" si="24"/>
        <v>0</v>
      </c>
      <c r="J114" s="67">
        <f t="shared" si="17"/>
        <v>0</v>
      </c>
      <c r="K114" s="67"/>
      <c r="L114" s="130"/>
      <c r="M114" s="67">
        <f t="shared" si="18"/>
        <v>0</v>
      </c>
      <c r="N114" s="130"/>
      <c r="O114" s="67">
        <f t="shared" si="19"/>
        <v>0</v>
      </c>
      <c r="P114" s="67">
        <f t="shared" si="20"/>
        <v>0</v>
      </c>
    </row>
    <row r="115" spans="2:16" ht="12.5">
      <c r="B115" t="str">
        <f t="shared" si="15"/>
        <v/>
      </c>
      <c r="C115" s="62">
        <f>IF(D94="","-",+C114+1)</f>
        <v>2033</v>
      </c>
      <c r="D115" s="63">
        <f>IF(F114+SUM(E$100:E114)=D$93,F114,D$93-SUM(E$100:E114))</f>
        <v>0</v>
      </c>
      <c r="E115" s="69">
        <f t="shared" si="21"/>
        <v>0</v>
      </c>
      <c r="F115" s="68">
        <f t="shared" si="22"/>
        <v>0</v>
      </c>
      <c r="G115" s="68">
        <f t="shared" si="23"/>
        <v>0</v>
      </c>
      <c r="H115" s="128">
        <f t="shared" si="16"/>
        <v>0</v>
      </c>
      <c r="I115" s="137">
        <f t="shared" si="24"/>
        <v>0</v>
      </c>
      <c r="J115" s="67">
        <f t="shared" si="17"/>
        <v>0</v>
      </c>
      <c r="K115" s="67"/>
      <c r="L115" s="130"/>
      <c r="M115" s="67">
        <f t="shared" si="18"/>
        <v>0</v>
      </c>
      <c r="N115" s="130"/>
      <c r="O115" s="67">
        <f t="shared" si="19"/>
        <v>0</v>
      </c>
      <c r="P115" s="67">
        <f t="shared" si="20"/>
        <v>0</v>
      </c>
    </row>
    <row r="116" spans="2:16" ht="12.5">
      <c r="B116" t="str">
        <f t="shared" si="15"/>
        <v/>
      </c>
      <c r="C116" s="62">
        <f>IF(D94="","-",+C115+1)</f>
        <v>2034</v>
      </c>
      <c r="D116" s="63">
        <f>IF(F115+SUM(E$100:E115)=D$93,F115,D$93-SUM(E$100:E115))</f>
        <v>0</v>
      </c>
      <c r="E116" s="69">
        <f t="shared" si="21"/>
        <v>0</v>
      </c>
      <c r="F116" s="68">
        <f t="shared" si="22"/>
        <v>0</v>
      </c>
      <c r="G116" s="68">
        <f t="shared" si="23"/>
        <v>0</v>
      </c>
      <c r="H116" s="128">
        <f t="shared" si="16"/>
        <v>0</v>
      </c>
      <c r="I116" s="137">
        <f t="shared" si="24"/>
        <v>0</v>
      </c>
      <c r="J116" s="67">
        <f t="shared" si="17"/>
        <v>0</v>
      </c>
      <c r="K116" s="67"/>
      <c r="L116" s="130"/>
      <c r="M116" s="67">
        <f t="shared" si="18"/>
        <v>0</v>
      </c>
      <c r="N116" s="130"/>
      <c r="O116" s="67">
        <f t="shared" si="19"/>
        <v>0</v>
      </c>
      <c r="P116" s="67">
        <f t="shared" si="20"/>
        <v>0</v>
      </c>
    </row>
    <row r="117" spans="2:16" ht="12.5">
      <c r="B117" t="str">
        <f t="shared" si="15"/>
        <v/>
      </c>
      <c r="C117" s="62">
        <f>IF(D94="","-",+C116+1)</f>
        <v>2035</v>
      </c>
      <c r="D117" s="63">
        <f>IF(F116+SUM(E$100:E116)=D$93,F116,D$93-SUM(E$100:E116))</f>
        <v>0</v>
      </c>
      <c r="E117" s="69">
        <f t="shared" si="21"/>
        <v>0</v>
      </c>
      <c r="F117" s="68">
        <f t="shared" si="22"/>
        <v>0</v>
      </c>
      <c r="G117" s="68">
        <f t="shared" si="23"/>
        <v>0</v>
      </c>
      <c r="H117" s="128">
        <f t="shared" si="16"/>
        <v>0</v>
      </c>
      <c r="I117" s="137">
        <f t="shared" si="24"/>
        <v>0</v>
      </c>
      <c r="J117" s="67">
        <f t="shared" si="17"/>
        <v>0</v>
      </c>
      <c r="K117" s="67"/>
      <c r="L117" s="130"/>
      <c r="M117" s="67">
        <f t="shared" si="18"/>
        <v>0</v>
      </c>
      <c r="N117" s="130"/>
      <c r="O117" s="67">
        <f t="shared" si="19"/>
        <v>0</v>
      </c>
      <c r="P117" s="67">
        <f t="shared" si="20"/>
        <v>0</v>
      </c>
    </row>
    <row r="118" spans="2:16" ht="12.5">
      <c r="B118" t="str">
        <f t="shared" si="15"/>
        <v/>
      </c>
      <c r="C118" s="62">
        <f>IF(D94="","-",+C117+1)</f>
        <v>2036</v>
      </c>
      <c r="D118" s="63">
        <f>IF(F117+SUM(E$100:E117)=D$93,F117,D$93-SUM(E$100:E117))</f>
        <v>0</v>
      </c>
      <c r="E118" s="69">
        <f t="shared" si="21"/>
        <v>0</v>
      </c>
      <c r="F118" s="68">
        <f t="shared" si="22"/>
        <v>0</v>
      </c>
      <c r="G118" s="68">
        <f t="shared" si="23"/>
        <v>0</v>
      </c>
      <c r="H118" s="128">
        <f t="shared" si="16"/>
        <v>0</v>
      </c>
      <c r="I118" s="137">
        <f t="shared" si="24"/>
        <v>0</v>
      </c>
      <c r="J118" s="67">
        <f t="shared" si="17"/>
        <v>0</v>
      </c>
      <c r="K118" s="67"/>
      <c r="L118" s="130"/>
      <c r="M118" s="67">
        <f t="shared" si="18"/>
        <v>0</v>
      </c>
      <c r="N118" s="130"/>
      <c r="O118" s="67">
        <f t="shared" si="19"/>
        <v>0</v>
      </c>
      <c r="P118" s="67">
        <f t="shared" si="20"/>
        <v>0</v>
      </c>
    </row>
    <row r="119" spans="2:16" ht="12.5">
      <c r="B119" t="str">
        <f t="shared" si="15"/>
        <v/>
      </c>
      <c r="C119" s="62">
        <f>IF(D94="","-",+C118+1)</f>
        <v>2037</v>
      </c>
      <c r="D119" s="63">
        <f>IF(F118+SUM(E$100:E118)=D$93,F118,D$93-SUM(E$100:E118))</f>
        <v>0</v>
      </c>
      <c r="E119" s="69">
        <f t="shared" si="21"/>
        <v>0</v>
      </c>
      <c r="F119" s="68">
        <f t="shared" si="22"/>
        <v>0</v>
      </c>
      <c r="G119" s="68">
        <f t="shared" si="23"/>
        <v>0</v>
      </c>
      <c r="H119" s="128">
        <f t="shared" si="16"/>
        <v>0</v>
      </c>
      <c r="I119" s="137">
        <f t="shared" si="24"/>
        <v>0</v>
      </c>
      <c r="J119" s="67">
        <f t="shared" si="17"/>
        <v>0</v>
      </c>
      <c r="K119" s="67"/>
      <c r="L119" s="130"/>
      <c r="M119" s="67">
        <f t="shared" si="18"/>
        <v>0</v>
      </c>
      <c r="N119" s="130"/>
      <c r="O119" s="67">
        <f t="shared" si="19"/>
        <v>0</v>
      </c>
      <c r="P119" s="67">
        <f t="shared" si="20"/>
        <v>0</v>
      </c>
    </row>
    <row r="120" spans="2:16" ht="12.5">
      <c r="B120" t="str">
        <f t="shared" si="15"/>
        <v/>
      </c>
      <c r="C120" s="62">
        <f>IF(D94="","-",+C119+1)</f>
        <v>2038</v>
      </c>
      <c r="D120" s="63">
        <f>IF(F119+SUM(E$100:E119)=D$93,F119,D$93-SUM(E$100:E119))</f>
        <v>0</v>
      </c>
      <c r="E120" s="69">
        <f t="shared" si="21"/>
        <v>0</v>
      </c>
      <c r="F120" s="68">
        <f t="shared" si="22"/>
        <v>0</v>
      </c>
      <c r="G120" s="68">
        <f t="shared" si="23"/>
        <v>0</v>
      </c>
      <c r="H120" s="128">
        <f t="shared" si="16"/>
        <v>0</v>
      </c>
      <c r="I120" s="137">
        <f t="shared" si="24"/>
        <v>0</v>
      </c>
      <c r="J120" s="67">
        <f t="shared" si="17"/>
        <v>0</v>
      </c>
      <c r="K120" s="67"/>
      <c r="L120" s="130"/>
      <c r="M120" s="67">
        <f t="shared" si="18"/>
        <v>0</v>
      </c>
      <c r="N120" s="130"/>
      <c r="O120" s="67">
        <f t="shared" si="19"/>
        <v>0</v>
      </c>
      <c r="P120" s="67">
        <f t="shared" si="20"/>
        <v>0</v>
      </c>
    </row>
    <row r="121" spans="2:16" ht="12.5">
      <c r="B121" t="str">
        <f t="shared" si="15"/>
        <v/>
      </c>
      <c r="C121" s="62">
        <f>IF(D94="","-",+C120+1)</f>
        <v>2039</v>
      </c>
      <c r="D121" s="63">
        <f>IF(F120+SUM(E$100:E120)=D$93,F120,D$93-SUM(E$100:E120))</f>
        <v>0</v>
      </c>
      <c r="E121" s="69">
        <f t="shared" si="21"/>
        <v>0</v>
      </c>
      <c r="F121" s="68">
        <f t="shared" si="22"/>
        <v>0</v>
      </c>
      <c r="G121" s="68">
        <f t="shared" si="23"/>
        <v>0</v>
      </c>
      <c r="H121" s="128">
        <f t="shared" si="16"/>
        <v>0</v>
      </c>
      <c r="I121" s="137">
        <f t="shared" si="24"/>
        <v>0</v>
      </c>
      <c r="J121" s="67">
        <f t="shared" si="17"/>
        <v>0</v>
      </c>
      <c r="K121" s="67"/>
      <c r="L121" s="130"/>
      <c r="M121" s="67">
        <f t="shared" si="18"/>
        <v>0</v>
      </c>
      <c r="N121" s="130"/>
      <c r="O121" s="67">
        <f t="shared" si="19"/>
        <v>0</v>
      </c>
      <c r="P121" s="67">
        <f t="shared" si="20"/>
        <v>0</v>
      </c>
    </row>
    <row r="122" spans="2:16" ht="12.5">
      <c r="B122" t="str">
        <f t="shared" si="15"/>
        <v/>
      </c>
      <c r="C122" s="62">
        <f>IF(D94="","-",+C121+1)</f>
        <v>2040</v>
      </c>
      <c r="D122" s="63">
        <f>IF(F121+SUM(E$100:E121)=D$93,F121,D$93-SUM(E$100:E121))</f>
        <v>0</v>
      </c>
      <c r="E122" s="69">
        <f t="shared" si="21"/>
        <v>0</v>
      </c>
      <c r="F122" s="68">
        <f t="shared" si="22"/>
        <v>0</v>
      </c>
      <c r="G122" s="68">
        <f t="shared" si="23"/>
        <v>0</v>
      </c>
      <c r="H122" s="128">
        <f t="shared" si="16"/>
        <v>0</v>
      </c>
      <c r="I122" s="137">
        <f t="shared" si="24"/>
        <v>0</v>
      </c>
      <c r="J122" s="67">
        <f t="shared" si="17"/>
        <v>0</v>
      </c>
      <c r="K122" s="67"/>
      <c r="L122" s="130"/>
      <c r="M122" s="67">
        <f t="shared" si="18"/>
        <v>0</v>
      </c>
      <c r="N122" s="130"/>
      <c r="O122" s="67">
        <f t="shared" si="19"/>
        <v>0</v>
      </c>
      <c r="P122" s="67">
        <f t="shared" si="20"/>
        <v>0</v>
      </c>
    </row>
    <row r="123" spans="2:16" ht="12.5">
      <c r="B123" t="str">
        <f t="shared" si="15"/>
        <v/>
      </c>
      <c r="C123" s="62">
        <f>IF(D94="","-",+C122+1)</f>
        <v>2041</v>
      </c>
      <c r="D123" s="63">
        <f>IF(F122+SUM(E$100:E122)=D$93,F122,D$93-SUM(E$100:E122))</f>
        <v>0</v>
      </c>
      <c r="E123" s="69">
        <f t="shared" si="21"/>
        <v>0</v>
      </c>
      <c r="F123" s="68">
        <f t="shared" si="22"/>
        <v>0</v>
      </c>
      <c r="G123" s="68">
        <f t="shared" si="23"/>
        <v>0</v>
      </c>
      <c r="H123" s="128">
        <f t="shared" si="16"/>
        <v>0</v>
      </c>
      <c r="I123" s="137">
        <f t="shared" si="24"/>
        <v>0</v>
      </c>
      <c r="J123" s="67">
        <f t="shared" si="17"/>
        <v>0</v>
      </c>
      <c r="K123" s="67"/>
      <c r="L123" s="130"/>
      <c r="M123" s="67">
        <f t="shared" si="18"/>
        <v>0</v>
      </c>
      <c r="N123" s="130"/>
      <c r="O123" s="67">
        <f t="shared" si="19"/>
        <v>0</v>
      </c>
      <c r="P123" s="67">
        <f t="shared" si="20"/>
        <v>0</v>
      </c>
    </row>
    <row r="124" spans="2:16" ht="12.5">
      <c r="B124" t="str">
        <f t="shared" si="15"/>
        <v/>
      </c>
      <c r="C124" s="62">
        <f>IF(D94="","-",+C123+1)</f>
        <v>2042</v>
      </c>
      <c r="D124" s="63">
        <f>IF(F123+SUM(E$100:E123)=D$93,F123,D$93-SUM(E$100:E123))</f>
        <v>0</v>
      </c>
      <c r="E124" s="69">
        <f t="shared" si="21"/>
        <v>0</v>
      </c>
      <c r="F124" s="68">
        <f t="shared" si="22"/>
        <v>0</v>
      </c>
      <c r="G124" s="68">
        <f t="shared" si="23"/>
        <v>0</v>
      </c>
      <c r="H124" s="128">
        <f t="shared" si="16"/>
        <v>0</v>
      </c>
      <c r="I124" s="137">
        <f t="shared" si="24"/>
        <v>0</v>
      </c>
      <c r="J124" s="67">
        <f t="shared" si="17"/>
        <v>0</v>
      </c>
      <c r="K124" s="67"/>
      <c r="L124" s="130"/>
      <c r="M124" s="67">
        <f t="shared" si="18"/>
        <v>0</v>
      </c>
      <c r="N124" s="130"/>
      <c r="O124" s="67">
        <f t="shared" si="19"/>
        <v>0</v>
      </c>
      <c r="P124" s="67">
        <f t="shared" si="20"/>
        <v>0</v>
      </c>
    </row>
    <row r="125" spans="2:16" ht="12.5">
      <c r="B125" t="str">
        <f t="shared" si="15"/>
        <v/>
      </c>
      <c r="C125" s="62">
        <f>IF(D94="","-",+C124+1)</f>
        <v>2043</v>
      </c>
      <c r="D125" s="63">
        <f>IF(F124+SUM(E$100:E124)=D$93,F124,D$93-SUM(E$100:E124))</f>
        <v>0</v>
      </c>
      <c r="E125" s="69">
        <f t="shared" si="21"/>
        <v>0</v>
      </c>
      <c r="F125" s="68">
        <f t="shared" si="22"/>
        <v>0</v>
      </c>
      <c r="G125" s="68">
        <f t="shared" si="23"/>
        <v>0</v>
      </c>
      <c r="H125" s="128">
        <f t="shared" si="16"/>
        <v>0</v>
      </c>
      <c r="I125" s="137">
        <f t="shared" si="24"/>
        <v>0</v>
      </c>
      <c r="J125" s="67">
        <f t="shared" si="17"/>
        <v>0</v>
      </c>
      <c r="K125" s="67"/>
      <c r="L125" s="130"/>
      <c r="M125" s="67">
        <f t="shared" si="18"/>
        <v>0</v>
      </c>
      <c r="N125" s="130"/>
      <c r="O125" s="67">
        <f t="shared" si="19"/>
        <v>0</v>
      </c>
      <c r="P125" s="67">
        <f t="shared" si="20"/>
        <v>0</v>
      </c>
    </row>
    <row r="126" spans="2:16" ht="12.5">
      <c r="B126" t="str">
        <f t="shared" si="15"/>
        <v/>
      </c>
      <c r="C126" s="62">
        <f>IF(D94="","-",+C125+1)</f>
        <v>2044</v>
      </c>
      <c r="D126" s="63">
        <f>IF(F125+SUM(E$100:E125)=D$93,F125,D$93-SUM(E$100:E125))</f>
        <v>0</v>
      </c>
      <c r="E126" s="69">
        <f t="shared" si="21"/>
        <v>0</v>
      </c>
      <c r="F126" s="68">
        <f t="shared" si="22"/>
        <v>0</v>
      </c>
      <c r="G126" s="68">
        <f t="shared" si="23"/>
        <v>0</v>
      </c>
      <c r="H126" s="128">
        <f t="shared" si="16"/>
        <v>0</v>
      </c>
      <c r="I126" s="137">
        <f t="shared" si="24"/>
        <v>0</v>
      </c>
      <c r="J126" s="67">
        <f t="shared" si="17"/>
        <v>0</v>
      </c>
      <c r="K126" s="67"/>
      <c r="L126" s="130"/>
      <c r="M126" s="67">
        <f t="shared" si="18"/>
        <v>0</v>
      </c>
      <c r="N126" s="130"/>
      <c r="O126" s="67">
        <f t="shared" si="19"/>
        <v>0</v>
      </c>
      <c r="P126" s="67">
        <f t="shared" si="20"/>
        <v>0</v>
      </c>
    </row>
    <row r="127" spans="2:16" ht="12.5">
      <c r="B127" t="str">
        <f t="shared" si="15"/>
        <v/>
      </c>
      <c r="C127" s="62">
        <f>IF(D94="","-",+C126+1)</f>
        <v>2045</v>
      </c>
      <c r="D127" s="63">
        <f>IF(F126+SUM(E$100:E126)=D$93,F126,D$93-SUM(E$100:E126))</f>
        <v>0</v>
      </c>
      <c r="E127" s="69">
        <f t="shared" si="21"/>
        <v>0</v>
      </c>
      <c r="F127" s="68">
        <f t="shared" si="22"/>
        <v>0</v>
      </c>
      <c r="G127" s="68">
        <f t="shared" si="23"/>
        <v>0</v>
      </c>
      <c r="H127" s="128">
        <f t="shared" si="16"/>
        <v>0</v>
      </c>
      <c r="I127" s="137">
        <f t="shared" si="24"/>
        <v>0</v>
      </c>
      <c r="J127" s="67">
        <f t="shared" si="17"/>
        <v>0</v>
      </c>
      <c r="K127" s="67"/>
      <c r="L127" s="130"/>
      <c r="M127" s="67">
        <f t="shared" si="18"/>
        <v>0</v>
      </c>
      <c r="N127" s="130"/>
      <c r="O127" s="67">
        <f t="shared" si="19"/>
        <v>0</v>
      </c>
      <c r="P127" s="67">
        <f t="shared" si="20"/>
        <v>0</v>
      </c>
    </row>
    <row r="128" spans="2:16" ht="12.5">
      <c r="B128" t="str">
        <f t="shared" si="15"/>
        <v/>
      </c>
      <c r="C128" s="62">
        <f>IF(D94="","-",+C127+1)</f>
        <v>2046</v>
      </c>
      <c r="D128" s="63">
        <f>IF(F127+SUM(E$100:E127)=D$93,F127,D$93-SUM(E$100:E127))</f>
        <v>0</v>
      </c>
      <c r="E128" s="69">
        <f t="shared" si="21"/>
        <v>0</v>
      </c>
      <c r="F128" s="68">
        <f t="shared" si="22"/>
        <v>0</v>
      </c>
      <c r="G128" s="68">
        <f t="shared" si="23"/>
        <v>0</v>
      </c>
      <c r="H128" s="128">
        <f t="shared" si="16"/>
        <v>0</v>
      </c>
      <c r="I128" s="137">
        <f t="shared" si="24"/>
        <v>0</v>
      </c>
      <c r="J128" s="67">
        <f t="shared" si="17"/>
        <v>0</v>
      </c>
      <c r="K128" s="67"/>
      <c r="L128" s="130"/>
      <c r="M128" s="67">
        <f t="shared" si="18"/>
        <v>0</v>
      </c>
      <c r="N128" s="130"/>
      <c r="O128" s="67">
        <f t="shared" si="19"/>
        <v>0</v>
      </c>
      <c r="P128" s="67">
        <f t="shared" si="20"/>
        <v>0</v>
      </c>
    </row>
    <row r="129" spans="2:16" ht="12.5">
      <c r="B129" t="str">
        <f t="shared" si="15"/>
        <v/>
      </c>
      <c r="C129" s="62">
        <f>IF(D94="","-",+C128+1)</f>
        <v>2047</v>
      </c>
      <c r="D129" s="63">
        <f>IF(F128+SUM(E$100:E128)=D$93,F128,D$93-SUM(E$100:E128))</f>
        <v>0</v>
      </c>
      <c r="E129" s="69">
        <f t="shared" si="21"/>
        <v>0</v>
      </c>
      <c r="F129" s="68">
        <f t="shared" si="22"/>
        <v>0</v>
      </c>
      <c r="G129" s="68">
        <f t="shared" si="23"/>
        <v>0</v>
      </c>
      <c r="H129" s="128">
        <f t="shared" si="16"/>
        <v>0</v>
      </c>
      <c r="I129" s="137">
        <f t="shared" si="24"/>
        <v>0</v>
      </c>
      <c r="J129" s="67">
        <f t="shared" si="17"/>
        <v>0</v>
      </c>
      <c r="K129" s="67"/>
      <c r="L129" s="130"/>
      <c r="M129" s="67">
        <f t="shared" si="18"/>
        <v>0</v>
      </c>
      <c r="N129" s="130"/>
      <c r="O129" s="67">
        <f t="shared" si="19"/>
        <v>0</v>
      </c>
      <c r="P129" s="67">
        <f t="shared" si="20"/>
        <v>0</v>
      </c>
    </row>
    <row r="130" spans="2:16" ht="12.5">
      <c r="B130" t="str">
        <f t="shared" si="15"/>
        <v/>
      </c>
      <c r="C130" s="62">
        <f>IF(D94="","-",+C129+1)</f>
        <v>2048</v>
      </c>
      <c r="D130" s="63">
        <f>IF(F129+SUM(E$100:E129)=D$93,F129,D$93-SUM(E$100:E129))</f>
        <v>0</v>
      </c>
      <c r="E130" s="69">
        <f t="shared" si="21"/>
        <v>0</v>
      </c>
      <c r="F130" s="68">
        <f t="shared" si="22"/>
        <v>0</v>
      </c>
      <c r="G130" s="68">
        <f t="shared" si="23"/>
        <v>0</v>
      </c>
      <c r="H130" s="128">
        <f t="shared" si="16"/>
        <v>0</v>
      </c>
      <c r="I130" s="137">
        <f t="shared" si="24"/>
        <v>0</v>
      </c>
      <c r="J130" s="67">
        <f t="shared" si="17"/>
        <v>0</v>
      </c>
      <c r="K130" s="67"/>
      <c r="L130" s="130"/>
      <c r="M130" s="67">
        <f t="shared" si="18"/>
        <v>0</v>
      </c>
      <c r="N130" s="130"/>
      <c r="O130" s="67">
        <f t="shared" si="19"/>
        <v>0</v>
      </c>
      <c r="P130" s="67">
        <f t="shared" si="20"/>
        <v>0</v>
      </c>
    </row>
    <row r="131" spans="2:16" ht="12.5">
      <c r="B131" t="str">
        <f t="shared" si="15"/>
        <v/>
      </c>
      <c r="C131" s="62">
        <f>IF(D94="","-",+C130+1)</f>
        <v>2049</v>
      </c>
      <c r="D131" s="63">
        <f>IF(F130+SUM(E$100:E130)=D$93,F130,D$93-SUM(E$100:E130))</f>
        <v>0</v>
      </c>
      <c r="E131" s="69">
        <f t="shared" si="21"/>
        <v>0</v>
      </c>
      <c r="F131" s="68">
        <f t="shared" si="22"/>
        <v>0</v>
      </c>
      <c r="G131" s="68">
        <f t="shared" si="23"/>
        <v>0</v>
      </c>
      <c r="H131" s="128">
        <f t="shared" si="16"/>
        <v>0</v>
      </c>
      <c r="I131" s="137">
        <f t="shared" si="24"/>
        <v>0</v>
      </c>
      <c r="J131" s="67">
        <f t="shared" si="17"/>
        <v>0</v>
      </c>
      <c r="K131" s="67"/>
      <c r="L131" s="130"/>
      <c r="M131" s="67">
        <f t="shared" si="18"/>
        <v>0</v>
      </c>
      <c r="N131" s="130"/>
      <c r="O131" s="67">
        <f t="shared" si="19"/>
        <v>0</v>
      </c>
      <c r="P131" s="67">
        <f t="shared" si="20"/>
        <v>0</v>
      </c>
    </row>
    <row r="132" spans="2:16" ht="12.5">
      <c r="B132" t="str">
        <f t="shared" si="15"/>
        <v/>
      </c>
      <c r="C132" s="62">
        <f>IF(D94="","-",+C131+1)</f>
        <v>2050</v>
      </c>
      <c r="D132" s="63">
        <f>IF(F131+SUM(E$100:E131)=D$93,F131,D$93-SUM(E$100:E131))</f>
        <v>0</v>
      </c>
      <c r="E132" s="69">
        <f t="shared" si="21"/>
        <v>0</v>
      </c>
      <c r="F132" s="68">
        <f t="shared" ref="F132:F155" si="25">+D132-E132</f>
        <v>0</v>
      </c>
      <c r="G132" s="68">
        <f t="shared" ref="G132:G155" si="26">+(F132+D132)/2</f>
        <v>0</v>
      </c>
      <c r="H132" s="128">
        <f t="shared" si="16"/>
        <v>0</v>
      </c>
      <c r="I132" s="137">
        <f t="shared" si="24"/>
        <v>0</v>
      </c>
      <c r="J132" s="67">
        <f t="shared" ref="J132:J155" si="27">+I542-H542</f>
        <v>0</v>
      </c>
      <c r="K132" s="67"/>
      <c r="L132" s="130"/>
      <c r="M132" s="67">
        <f t="shared" ref="M132:M155" si="28">IF(L542&lt;&gt;0,+H542-L542,0)</f>
        <v>0</v>
      </c>
      <c r="N132" s="130"/>
      <c r="O132" s="67">
        <f t="shared" ref="O132:O155" si="29">IF(N542&lt;&gt;0,+I542-N542,0)</f>
        <v>0</v>
      </c>
      <c r="P132" s="67">
        <f t="shared" ref="P132:P155" si="30">+O542-M542</f>
        <v>0</v>
      </c>
    </row>
    <row r="133" spans="2:16" ht="12.5">
      <c r="B133" t="str">
        <f t="shared" si="15"/>
        <v/>
      </c>
      <c r="C133" s="62">
        <f>IF(D94="","-",+C132+1)</f>
        <v>2051</v>
      </c>
      <c r="D133" s="63">
        <f>IF(F132+SUM(E$100:E132)=D$93,F132,D$93-SUM(E$100:E132))</f>
        <v>0</v>
      </c>
      <c r="E133" s="69">
        <f t="shared" ref="E133:E155" si="31">IF(+J$97&lt;F132,J$97,D133)</f>
        <v>0</v>
      </c>
      <c r="F133" s="68">
        <f t="shared" si="25"/>
        <v>0</v>
      </c>
      <c r="G133" s="68">
        <f t="shared" si="26"/>
        <v>0</v>
      </c>
      <c r="H133" s="128">
        <f t="shared" si="16"/>
        <v>0</v>
      </c>
      <c r="I133" s="137">
        <f t="shared" si="24"/>
        <v>0</v>
      </c>
      <c r="J133" s="67">
        <f t="shared" si="27"/>
        <v>0</v>
      </c>
      <c r="K133" s="67"/>
      <c r="L133" s="130"/>
      <c r="M133" s="67">
        <f t="shared" si="28"/>
        <v>0</v>
      </c>
      <c r="N133" s="130"/>
      <c r="O133" s="67">
        <f t="shared" si="29"/>
        <v>0</v>
      </c>
      <c r="P133" s="67">
        <f t="shared" si="30"/>
        <v>0</v>
      </c>
    </row>
    <row r="134" spans="2:16" ht="12.5">
      <c r="B134" t="str">
        <f t="shared" si="15"/>
        <v/>
      </c>
      <c r="C134" s="62">
        <f>IF(D94="","-",+C133+1)</f>
        <v>2052</v>
      </c>
      <c r="D134" s="63">
        <f>IF(F133+SUM(E$100:E133)=D$93,F133,D$93-SUM(E$100:E133))</f>
        <v>0</v>
      </c>
      <c r="E134" s="69">
        <f t="shared" si="31"/>
        <v>0</v>
      </c>
      <c r="F134" s="68">
        <f t="shared" si="25"/>
        <v>0</v>
      </c>
      <c r="G134" s="68">
        <f t="shared" si="26"/>
        <v>0</v>
      </c>
      <c r="H134" s="128">
        <f t="shared" si="16"/>
        <v>0</v>
      </c>
      <c r="I134" s="137">
        <f t="shared" si="24"/>
        <v>0</v>
      </c>
      <c r="J134" s="67">
        <f t="shared" si="27"/>
        <v>0</v>
      </c>
      <c r="K134" s="67"/>
      <c r="L134" s="130"/>
      <c r="M134" s="67">
        <f t="shared" si="28"/>
        <v>0</v>
      </c>
      <c r="N134" s="130"/>
      <c r="O134" s="67">
        <f t="shared" si="29"/>
        <v>0</v>
      </c>
      <c r="P134" s="67">
        <f t="shared" si="30"/>
        <v>0</v>
      </c>
    </row>
    <row r="135" spans="2:16" ht="12.5">
      <c r="B135" t="str">
        <f t="shared" si="15"/>
        <v/>
      </c>
      <c r="C135" s="62">
        <f>IF(D94="","-",+C134+1)</f>
        <v>2053</v>
      </c>
      <c r="D135" s="63">
        <f>IF(F134+SUM(E$100:E134)=D$93,F134,D$93-SUM(E$100:E134))</f>
        <v>0</v>
      </c>
      <c r="E135" s="69">
        <f t="shared" si="31"/>
        <v>0</v>
      </c>
      <c r="F135" s="68">
        <f t="shared" si="25"/>
        <v>0</v>
      </c>
      <c r="G135" s="68">
        <f t="shared" si="26"/>
        <v>0</v>
      </c>
      <c r="H135" s="128">
        <f t="shared" si="16"/>
        <v>0</v>
      </c>
      <c r="I135" s="137">
        <f t="shared" si="24"/>
        <v>0</v>
      </c>
      <c r="J135" s="67">
        <f t="shared" si="27"/>
        <v>0</v>
      </c>
      <c r="K135" s="67"/>
      <c r="L135" s="130"/>
      <c r="M135" s="67">
        <f t="shared" si="28"/>
        <v>0</v>
      </c>
      <c r="N135" s="130"/>
      <c r="O135" s="67">
        <f t="shared" si="29"/>
        <v>0</v>
      </c>
      <c r="P135" s="67">
        <f t="shared" si="30"/>
        <v>0</v>
      </c>
    </row>
    <row r="136" spans="2:16" ht="12.5">
      <c r="B136" t="str">
        <f t="shared" si="15"/>
        <v/>
      </c>
      <c r="C136" s="62">
        <f>IF(D94="","-",+C135+1)</f>
        <v>2054</v>
      </c>
      <c r="D136" s="63">
        <f>IF(F135+SUM(E$100:E135)=D$93,F135,D$93-SUM(E$100:E135))</f>
        <v>0</v>
      </c>
      <c r="E136" s="69">
        <f t="shared" si="31"/>
        <v>0</v>
      </c>
      <c r="F136" s="68">
        <f t="shared" si="25"/>
        <v>0</v>
      </c>
      <c r="G136" s="68">
        <f t="shared" si="26"/>
        <v>0</v>
      </c>
      <c r="H136" s="128">
        <f t="shared" si="16"/>
        <v>0</v>
      </c>
      <c r="I136" s="137">
        <f t="shared" si="24"/>
        <v>0</v>
      </c>
      <c r="J136" s="67">
        <f t="shared" si="27"/>
        <v>0</v>
      </c>
      <c r="K136" s="67"/>
      <c r="L136" s="130"/>
      <c r="M136" s="67">
        <f t="shared" si="28"/>
        <v>0</v>
      </c>
      <c r="N136" s="130"/>
      <c r="O136" s="67">
        <f t="shared" si="29"/>
        <v>0</v>
      </c>
      <c r="P136" s="67">
        <f t="shared" si="30"/>
        <v>0</v>
      </c>
    </row>
    <row r="137" spans="2:16" ht="12.5">
      <c r="B137" t="str">
        <f t="shared" si="15"/>
        <v/>
      </c>
      <c r="C137" s="62">
        <f>IF(D94="","-",+C136+1)</f>
        <v>2055</v>
      </c>
      <c r="D137" s="63">
        <f>IF(F136+SUM(E$100:E136)=D$93,F136,D$93-SUM(E$100:E136))</f>
        <v>0</v>
      </c>
      <c r="E137" s="69">
        <f t="shared" si="31"/>
        <v>0</v>
      </c>
      <c r="F137" s="68">
        <f t="shared" si="25"/>
        <v>0</v>
      </c>
      <c r="G137" s="68">
        <f t="shared" si="26"/>
        <v>0</v>
      </c>
      <c r="H137" s="128">
        <f t="shared" si="16"/>
        <v>0</v>
      </c>
      <c r="I137" s="137">
        <f t="shared" si="24"/>
        <v>0</v>
      </c>
      <c r="J137" s="67">
        <f t="shared" si="27"/>
        <v>0</v>
      </c>
      <c r="K137" s="67"/>
      <c r="L137" s="130"/>
      <c r="M137" s="67">
        <f t="shared" si="28"/>
        <v>0</v>
      </c>
      <c r="N137" s="130"/>
      <c r="O137" s="67">
        <f t="shared" si="29"/>
        <v>0</v>
      </c>
      <c r="P137" s="67">
        <f t="shared" si="30"/>
        <v>0</v>
      </c>
    </row>
    <row r="138" spans="2:16" ht="12.5">
      <c r="B138" t="str">
        <f t="shared" si="15"/>
        <v/>
      </c>
      <c r="C138" s="62">
        <f>IF(D94="","-",+C137+1)</f>
        <v>2056</v>
      </c>
      <c r="D138" s="63">
        <f>IF(F137+SUM(E$100:E137)=D$93,F137,D$93-SUM(E$100:E137))</f>
        <v>0</v>
      </c>
      <c r="E138" s="69">
        <f t="shared" si="31"/>
        <v>0</v>
      </c>
      <c r="F138" s="68">
        <f t="shared" si="25"/>
        <v>0</v>
      </c>
      <c r="G138" s="68">
        <f t="shared" si="26"/>
        <v>0</v>
      </c>
      <c r="H138" s="128">
        <f t="shared" si="16"/>
        <v>0</v>
      </c>
      <c r="I138" s="137">
        <f t="shared" si="24"/>
        <v>0</v>
      </c>
      <c r="J138" s="67">
        <f t="shared" si="27"/>
        <v>0</v>
      </c>
      <c r="K138" s="67"/>
      <c r="L138" s="130"/>
      <c r="M138" s="67">
        <f t="shared" si="28"/>
        <v>0</v>
      </c>
      <c r="N138" s="130"/>
      <c r="O138" s="67">
        <f t="shared" si="29"/>
        <v>0</v>
      </c>
      <c r="P138" s="67">
        <f t="shared" si="30"/>
        <v>0</v>
      </c>
    </row>
    <row r="139" spans="2:16" ht="12.5">
      <c r="B139" t="str">
        <f t="shared" si="15"/>
        <v/>
      </c>
      <c r="C139" s="62">
        <f>IF(D94="","-",+C138+1)</f>
        <v>2057</v>
      </c>
      <c r="D139" s="63">
        <f>IF(F138+SUM(E$100:E138)=D$93,F138,D$93-SUM(E$100:E138))</f>
        <v>0</v>
      </c>
      <c r="E139" s="69">
        <f t="shared" si="31"/>
        <v>0</v>
      </c>
      <c r="F139" s="68">
        <f t="shared" si="25"/>
        <v>0</v>
      </c>
      <c r="G139" s="68">
        <f t="shared" si="26"/>
        <v>0</v>
      </c>
      <c r="H139" s="128">
        <f t="shared" si="16"/>
        <v>0</v>
      </c>
      <c r="I139" s="137">
        <f t="shared" si="24"/>
        <v>0</v>
      </c>
      <c r="J139" s="67">
        <f t="shared" si="27"/>
        <v>0</v>
      </c>
      <c r="K139" s="67"/>
      <c r="L139" s="130"/>
      <c r="M139" s="67">
        <f t="shared" si="28"/>
        <v>0</v>
      </c>
      <c r="N139" s="130"/>
      <c r="O139" s="67">
        <f t="shared" si="29"/>
        <v>0</v>
      </c>
      <c r="P139" s="67">
        <f t="shared" si="30"/>
        <v>0</v>
      </c>
    </row>
    <row r="140" spans="2:16" ht="12.5">
      <c r="B140" t="str">
        <f t="shared" si="15"/>
        <v/>
      </c>
      <c r="C140" s="62">
        <f>IF(D94="","-",+C139+1)</f>
        <v>2058</v>
      </c>
      <c r="D140" s="63">
        <f>IF(F139+SUM(E$100:E139)=D$93,F139,D$93-SUM(E$100:E139))</f>
        <v>0</v>
      </c>
      <c r="E140" s="69">
        <f t="shared" si="31"/>
        <v>0</v>
      </c>
      <c r="F140" s="68">
        <f t="shared" si="25"/>
        <v>0</v>
      </c>
      <c r="G140" s="68">
        <f t="shared" si="26"/>
        <v>0</v>
      </c>
      <c r="H140" s="128">
        <f t="shared" si="16"/>
        <v>0</v>
      </c>
      <c r="I140" s="137">
        <f t="shared" si="24"/>
        <v>0</v>
      </c>
      <c r="J140" s="67">
        <f t="shared" si="27"/>
        <v>0</v>
      </c>
      <c r="K140" s="67"/>
      <c r="L140" s="130"/>
      <c r="M140" s="67">
        <f t="shared" si="28"/>
        <v>0</v>
      </c>
      <c r="N140" s="130"/>
      <c r="O140" s="67">
        <f t="shared" si="29"/>
        <v>0</v>
      </c>
      <c r="P140" s="67">
        <f t="shared" si="30"/>
        <v>0</v>
      </c>
    </row>
    <row r="141" spans="2:16" ht="12.5">
      <c r="B141" t="str">
        <f t="shared" si="15"/>
        <v/>
      </c>
      <c r="C141" s="62">
        <f>IF(D94="","-",+C140+1)</f>
        <v>2059</v>
      </c>
      <c r="D141" s="63">
        <f>IF(F140+SUM(E$100:E140)=D$93,F140,D$93-SUM(E$100:E140))</f>
        <v>0</v>
      </c>
      <c r="E141" s="69">
        <f t="shared" si="31"/>
        <v>0</v>
      </c>
      <c r="F141" s="68">
        <f t="shared" si="25"/>
        <v>0</v>
      </c>
      <c r="G141" s="68">
        <f t="shared" si="26"/>
        <v>0</v>
      </c>
      <c r="H141" s="128">
        <f t="shared" si="16"/>
        <v>0</v>
      </c>
      <c r="I141" s="137">
        <f t="shared" si="24"/>
        <v>0</v>
      </c>
      <c r="J141" s="67">
        <f t="shared" si="27"/>
        <v>0</v>
      </c>
      <c r="K141" s="67"/>
      <c r="L141" s="130"/>
      <c r="M141" s="67">
        <f t="shared" si="28"/>
        <v>0</v>
      </c>
      <c r="N141" s="130"/>
      <c r="O141" s="67">
        <f t="shared" si="29"/>
        <v>0</v>
      </c>
      <c r="P141" s="67">
        <f t="shared" si="30"/>
        <v>0</v>
      </c>
    </row>
    <row r="142" spans="2:16" ht="12.5">
      <c r="B142" t="str">
        <f t="shared" si="15"/>
        <v/>
      </c>
      <c r="C142" s="62">
        <f>IF(D94="","-",+C141+1)</f>
        <v>2060</v>
      </c>
      <c r="D142" s="63">
        <f>IF(F141+SUM(E$100:E141)=D$93,F141,D$93-SUM(E$100:E141))</f>
        <v>0</v>
      </c>
      <c r="E142" s="69">
        <f t="shared" si="31"/>
        <v>0</v>
      </c>
      <c r="F142" s="68">
        <f t="shared" si="25"/>
        <v>0</v>
      </c>
      <c r="G142" s="68">
        <f t="shared" si="26"/>
        <v>0</v>
      </c>
      <c r="H142" s="128">
        <f t="shared" si="16"/>
        <v>0</v>
      </c>
      <c r="I142" s="137">
        <f t="shared" si="24"/>
        <v>0</v>
      </c>
      <c r="J142" s="67">
        <f t="shared" si="27"/>
        <v>0</v>
      </c>
      <c r="K142" s="67"/>
      <c r="L142" s="130"/>
      <c r="M142" s="67">
        <f t="shared" si="28"/>
        <v>0</v>
      </c>
      <c r="N142" s="130"/>
      <c r="O142" s="67">
        <f t="shared" si="29"/>
        <v>0</v>
      </c>
      <c r="P142" s="67">
        <f t="shared" si="30"/>
        <v>0</v>
      </c>
    </row>
    <row r="143" spans="2:16" ht="12.5">
      <c r="B143" t="str">
        <f t="shared" si="15"/>
        <v/>
      </c>
      <c r="C143" s="62">
        <f>IF(D94="","-",+C142+1)</f>
        <v>2061</v>
      </c>
      <c r="D143" s="63">
        <f>IF(F142+SUM(E$100:E142)=D$93,F142,D$93-SUM(E$100:E142))</f>
        <v>0</v>
      </c>
      <c r="E143" s="69">
        <f t="shared" si="31"/>
        <v>0</v>
      </c>
      <c r="F143" s="68">
        <f t="shared" si="25"/>
        <v>0</v>
      </c>
      <c r="G143" s="68">
        <f t="shared" si="26"/>
        <v>0</v>
      </c>
      <c r="H143" s="128">
        <f t="shared" si="16"/>
        <v>0</v>
      </c>
      <c r="I143" s="137">
        <f t="shared" si="24"/>
        <v>0</v>
      </c>
      <c r="J143" s="67">
        <f t="shared" si="27"/>
        <v>0</v>
      </c>
      <c r="K143" s="67"/>
      <c r="L143" s="130"/>
      <c r="M143" s="67">
        <f t="shared" si="28"/>
        <v>0</v>
      </c>
      <c r="N143" s="130"/>
      <c r="O143" s="67">
        <f t="shared" si="29"/>
        <v>0</v>
      </c>
      <c r="P143" s="67">
        <f t="shared" si="30"/>
        <v>0</v>
      </c>
    </row>
    <row r="144" spans="2:16" ht="12.5">
      <c r="B144" t="str">
        <f t="shared" si="15"/>
        <v/>
      </c>
      <c r="C144" s="62">
        <f>IF(D94="","-",+C143+1)</f>
        <v>2062</v>
      </c>
      <c r="D144" s="63">
        <f>IF(F143+SUM(E$100:E143)=D$93,F143,D$93-SUM(E$100:E143))</f>
        <v>0</v>
      </c>
      <c r="E144" s="69">
        <f t="shared" si="31"/>
        <v>0</v>
      </c>
      <c r="F144" s="68">
        <f t="shared" si="25"/>
        <v>0</v>
      </c>
      <c r="G144" s="68">
        <f t="shared" si="26"/>
        <v>0</v>
      </c>
      <c r="H144" s="128">
        <f t="shared" si="16"/>
        <v>0</v>
      </c>
      <c r="I144" s="137">
        <f t="shared" si="24"/>
        <v>0</v>
      </c>
      <c r="J144" s="67">
        <f t="shared" si="27"/>
        <v>0</v>
      </c>
      <c r="K144" s="67"/>
      <c r="L144" s="130"/>
      <c r="M144" s="67">
        <f t="shared" si="28"/>
        <v>0</v>
      </c>
      <c r="N144" s="130"/>
      <c r="O144" s="67">
        <f t="shared" si="29"/>
        <v>0</v>
      </c>
      <c r="P144" s="67">
        <f t="shared" si="30"/>
        <v>0</v>
      </c>
    </row>
    <row r="145" spans="2:16" ht="12.5">
      <c r="B145" t="str">
        <f t="shared" si="15"/>
        <v/>
      </c>
      <c r="C145" s="62">
        <f>IF(D94="","-",+C144+1)</f>
        <v>2063</v>
      </c>
      <c r="D145" s="63">
        <f>IF(F144+SUM(E$100:E144)=D$93,F144,D$93-SUM(E$100:E144))</f>
        <v>0</v>
      </c>
      <c r="E145" s="69">
        <f t="shared" si="31"/>
        <v>0</v>
      </c>
      <c r="F145" s="68">
        <f t="shared" si="25"/>
        <v>0</v>
      </c>
      <c r="G145" s="68">
        <f t="shared" si="26"/>
        <v>0</v>
      </c>
      <c r="H145" s="128">
        <f t="shared" si="16"/>
        <v>0</v>
      </c>
      <c r="I145" s="137">
        <f t="shared" si="24"/>
        <v>0</v>
      </c>
      <c r="J145" s="67">
        <f t="shared" si="27"/>
        <v>0</v>
      </c>
      <c r="K145" s="67"/>
      <c r="L145" s="130"/>
      <c r="M145" s="67">
        <f t="shared" si="28"/>
        <v>0</v>
      </c>
      <c r="N145" s="130"/>
      <c r="O145" s="67">
        <f t="shared" si="29"/>
        <v>0</v>
      </c>
      <c r="P145" s="67">
        <f t="shared" si="30"/>
        <v>0</v>
      </c>
    </row>
    <row r="146" spans="2:16" ht="12.5">
      <c r="B146" t="str">
        <f t="shared" si="15"/>
        <v/>
      </c>
      <c r="C146" s="62">
        <f>IF(D94="","-",+C145+1)</f>
        <v>2064</v>
      </c>
      <c r="D146" s="63">
        <f>IF(F145+SUM(E$100:E145)=D$93,F145,D$93-SUM(E$100:E145))</f>
        <v>0</v>
      </c>
      <c r="E146" s="69">
        <f t="shared" si="31"/>
        <v>0</v>
      </c>
      <c r="F146" s="68">
        <f t="shared" si="25"/>
        <v>0</v>
      </c>
      <c r="G146" s="68">
        <f t="shared" si="26"/>
        <v>0</v>
      </c>
      <c r="H146" s="128">
        <f t="shared" si="16"/>
        <v>0</v>
      </c>
      <c r="I146" s="137">
        <f t="shared" si="24"/>
        <v>0</v>
      </c>
      <c r="J146" s="67">
        <f t="shared" si="27"/>
        <v>0</v>
      </c>
      <c r="K146" s="67"/>
      <c r="L146" s="130"/>
      <c r="M146" s="67">
        <f t="shared" si="28"/>
        <v>0</v>
      </c>
      <c r="N146" s="130"/>
      <c r="O146" s="67">
        <f t="shared" si="29"/>
        <v>0</v>
      </c>
      <c r="P146" s="67">
        <f t="shared" si="30"/>
        <v>0</v>
      </c>
    </row>
    <row r="147" spans="2:16" ht="12.5">
      <c r="B147" t="str">
        <f t="shared" si="15"/>
        <v/>
      </c>
      <c r="C147" s="62">
        <f>IF(D94="","-",+C146+1)</f>
        <v>2065</v>
      </c>
      <c r="D147" s="63">
        <f>IF(F146+SUM(E$100:E146)=D$93,F146,D$93-SUM(E$100:E146))</f>
        <v>0</v>
      </c>
      <c r="E147" s="69">
        <f t="shared" si="31"/>
        <v>0</v>
      </c>
      <c r="F147" s="68">
        <f t="shared" si="25"/>
        <v>0</v>
      </c>
      <c r="G147" s="68">
        <f t="shared" si="26"/>
        <v>0</v>
      </c>
      <c r="H147" s="128">
        <f t="shared" si="16"/>
        <v>0</v>
      </c>
      <c r="I147" s="137">
        <f t="shared" si="24"/>
        <v>0</v>
      </c>
      <c r="J147" s="67">
        <f t="shared" si="27"/>
        <v>0</v>
      </c>
      <c r="K147" s="67"/>
      <c r="L147" s="130"/>
      <c r="M147" s="67">
        <f t="shared" si="28"/>
        <v>0</v>
      </c>
      <c r="N147" s="130"/>
      <c r="O147" s="67">
        <f t="shared" si="29"/>
        <v>0</v>
      </c>
      <c r="P147" s="67">
        <f t="shared" si="30"/>
        <v>0</v>
      </c>
    </row>
    <row r="148" spans="2:16" ht="12.5">
      <c r="B148" t="str">
        <f t="shared" si="15"/>
        <v/>
      </c>
      <c r="C148" s="62">
        <f>IF(D94="","-",+C147+1)</f>
        <v>2066</v>
      </c>
      <c r="D148" s="63">
        <f>IF(F147+SUM(E$100:E147)=D$93,F147,D$93-SUM(E$100:E147))</f>
        <v>0</v>
      </c>
      <c r="E148" s="69">
        <f t="shared" si="31"/>
        <v>0</v>
      </c>
      <c r="F148" s="68">
        <f t="shared" si="25"/>
        <v>0</v>
      </c>
      <c r="G148" s="68">
        <f t="shared" si="26"/>
        <v>0</v>
      </c>
      <c r="H148" s="128">
        <f t="shared" si="16"/>
        <v>0</v>
      </c>
      <c r="I148" s="137">
        <f t="shared" si="24"/>
        <v>0</v>
      </c>
      <c r="J148" s="67">
        <f t="shared" si="27"/>
        <v>0</v>
      </c>
      <c r="K148" s="67"/>
      <c r="L148" s="130"/>
      <c r="M148" s="67">
        <f t="shared" si="28"/>
        <v>0</v>
      </c>
      <c r="N148" s="130"/>
      <c r="O148" s="67">
        <f t="shared" si="29"/>
        <v>0</v>
      </c>
      <c r="P148" s="67">
        <f t="shared" si="30"/>
        <v>0</v>
      </c>
    </row>
    <row r="149" spans="2:16" ht="12.5">
      <c r="B149" t="str">
        <f t="shared" si="15"/>
        <v/>
      </c>
      <c r="C149" s="62">
        <f>IF(D94="","-",+C148+1)</f>
        <v>2067</v>
      </c>
      <c r="D149" s="63">
        <f>IF(F148+SUM(E$100:E148)=D$93,F148,D$93-SUM(E$100:E148))</f>
        <v>0</v>
      </c>
      <c r="E149" s="69">
        <f t="shared" si="31"/>
        <v>0</v>
      </c>
      <c r="F149" s="68">
        <f t="shared" si="25"/>
        <v>0</v>
      </c>
      <c r="G149" s="68">
        <f t="shared" si="26"/>
        <v>0</v>
      </c>
      <c r="H149" s="128">
        <f t="shared" si="16"/>
        <v>0</v>
      </c>
      <c r="I149" s="137">
        <f t="shared" si="24"/>
        <v>0</v>
      </c>
      <c r="J149" s="67">
        <f t="shared" si="27"/>
        <v>0</v>
      </c>
      <c r="K149" s="67"/>
      <c r="L149" s="130"/>
      <c r="M149" s="67">
        <f t="shared" si="28"/>
        <v>0</v>
      </c>
      <c r="N149" s="130"/>
      <c r="O149" s="67">
        <f t="shared" si="29"/>
        <v>0</v>
      </c>
      <c r="P149" s="67">
        <f t="shared" si="30"/>
        <v>0</v>
      </c>
    </row>
    <row r="150" spans="2:16" ht="12.5">
      <c r="B150" t="str">
        <f t="shared" si="15"/>
        <v/>
      </c>
      <c r="C150" s="62">
        <f>IF(D94="","-",+C149+1)</f>
        <v>2068</v>
      </c>
      <c r="D150" s="63">
        <f>IF(F149+SUM(E$100:E149)=D$93,F149,D$93-SUM(E$100:E149))</f>
        <v>0</v>
      </c>
      <c r="E150" s="69">
        <f t="shared" si="31"/>
        <v>0</v>
      </c>
      <c r="F150" s="68">
        <f t="shared" si="25"/>
        <v>0</v>
      </c>
      <c r="G150" s="68">
        <f t="shared" si="26"/>
        <v>0</v>
      </c>
      <c r="H150" s="128">
        <f t="shared" si="16"/>
        <v>0</v>
      </c>
      <c r="I150" s="137">
        <f t="shared" si="24"/>
        <v>0</v>
      </c>
      <c r="J150" s="67">
        <f t="shared" si="27"/>
        <v>0</v>
      </c>
      <c r="K150" s="67"/>
      <c r="L150" s="130"/>
      <c r="M150" s="67">
        <f t="shared" si="28"/>
        <v>0</v>
      </c>
      <c r="N150" s="130"/>
      <c r="O150" s="67">
        <f t="shared" si="29"/>
        <v>0</v>
      </c>
      <c r="P150" s="67">
        <f t="shared" si="30"/>
        <v>0</v>
      </c>
    </row>
    <row r="151" spans="2:16" ht="12.5">
      <c r="B151" t="str">
        <f t="shared" si="15"/>
        <v/>
      </c>
      <c r="C151" s="62">
        <f>IF(D94="","-",+C150+1)</f>
        <v>2069</v>
      </c>
      <c r="D151" s="63">
        <f>IF(F150+SUM(E$100:E150)=D$93,F150,D$93-SUM(E$100:E150))</f>
        <v>0</v>
      </c>
      <c r="E151" s="69">
        <f t="shared" si="31"/>
        <v>0</v>
      </c>
      <c r="F151" s="68">
        <f t="shared" si="25"/>
        <v>0</v>
      </c>
      <c r="G151" s="68">
        <f t="shared" si="26"/>
        <v>0</v>
      </c>
      <c r="H151" s="128">
        <f t="shared" si="16"/>
        <v>0</v>
      </c>
      <c r="I151" s="137">
        <f t="shared" si="24"/>
        <v>0</v>
      </c>
      <c r="J151" s="67">
        <f t="shared" si="27"/>
        <v>0</v>
      </c>
      <c r="K151" s="67"/>
      <c r="L151" s="130"/>
      <c r="M151" s="67">
        <f t="shared" si="28"/>
        <v>0</v>
      </c>
      <c r="N151" s="130"/>
      <c r="O151" s="67">
        <f t="shared" si="29"/>
        <v>0</v>
      </c>
      <c r="P151" s="67">
        <f t="shared" si="30"/>
        <v>0</v>
      </c>
    </row>
    <row r="152" spans="2:16" ht="12.5">
      <c r="B152" t="str">
        <f t="shared" si="15"/>
        <v/>
      </c>
      <c r="C152" s="62">
        <f>IF(D94="","-",+C151+1)</f>
        <v>2070</v>
      </c>
      <c r="D152" s="63">
        <f>IF(F151+SUM(E$100:E151)=D$93,F151,D$93-SUM(E$100:E151))</f>
        <v>0</v>
      </c>
      <c r="E152" s="69">
        <f t="shared" si="31"/>
        <v>0</v>
      </c>
      <c r="F152" s="68">
        <f t="shared" si="25"/>
        <v>0</v>
      </c>
      <c r="G152" s="68">
        <f t="shared" si="26"/>
        <v>0</v>
      </c>
      <c r="H152" s="128">
        <f t="shared" si="16"/>
        <v>0</v>
      </c>
      <c r="I152" s="137">
        <f t="shared" si="24"/>
        <v>0</v>
      </c>
      <c r="J152" s="67">
        <f t="shared" si="27"/>
        <v>0</v>
      </c>
      <c r="K152" s="67"/>
      <c r="L152" s="130"/>
      <c r="M152" s="67">
        <f t="shared" si="28"/>
        <v>0</v>
      </c>
      <c r="N152" s="130"/>
      <c r="O152" s="67">
        <f t="shared" si="29"/>
        <v>0</v>
      </c>
      <c r="P152" s="67">
        <f t="shared" si="30"/>
        <v>0</v>
      </c>
    </row>
    <row r="153" spans="2:16" ht="12.5">
      <c r="B153" t="str">
        <f t="shared" si="15"/>
        <v/>
      </c>
      <c r="C153" s="62">
        <f>IF(D94="","-",+C152+1)</f>
        <v>2071</v>
      </c>
      <c r="D153" s="63">
        <f>IF(F152+SUM(E$100:E152)=D$93,F152,D$93-SUM(E$100:E152))</f>
        <v>0</v>
      </c>
      <c r="E153" s="69">
        <f t="shared" si="31"/>
        <v>0</v>
      </c>
      <c r="F153" s="68">
        <f t="shared" si="25"/>
        <v>0</v>
      </c>
      <c r="G153" s="68">
        <f t="shared" si="26"/>
        <v>0</v>
      </c>
      <c r="H153" s="128">
        <f t="shared" si="16"/>
        <v>0</v>
      </c>
      <c r="I153" s="137">
        <f t="shared" si="24"/>
        <v>0</v>
      </c>
      <c r="J153" s="67">
        <f t="shared" si="27"/>
        <v>0</v>
      </c>
      <c r="K153" s="67"/>
      <c r="L153" s="130"/>
      <c r="M153" s="67">
        <f t="shared" si="28"/>
        <v>0</v>
      </c>
      <c r="N153" s="130"/>
      <c r="O153" s="67">
        <f t="shared" si="29"/>
        <v>0</v>
      </c>
      <c r="P153" s="67">
        <f t="shared" si="30"/>
        <v>0</v>
      </c>
    </row>
    <row r="154" spans="2:16" ht="12.5">
      <c r="B154" t="str">
        <f t="shared" si="15"/>
        <v/>
      </c>
      <c r="C154" s="62">
        <f>IF(D94="","-",+C153+1)</f>
        <v>2072</v>
      </c>
      <c r="D154" s="63">
        <f>IF(F153+SUM(E$100:E153)=D$93,F153,D$93-SUM(E$100:E153))</f>
        <v>0</v>
      </c>
      <c r="E154" s="69">
        <f t="shared" si="31"/>
        <v>0</v>
      </c>
      <c r="F154" s="68">
        <f t="shared" si="25"/>
        <v>0</v>
      </c>
      <c r="G154" s="68">
        <f t="shared" si="26"/>
        <v>0</v>
      </c>
      <c r="H154" s="128">
        <f t="shared" si="16"/>
        <v>0</v>
      </c>
      <c r="I154" s="137">
        <f t="shared" si="24"/>
        <v>0</v>
      </c>
      <c r="J154" s="67">
        <f t="shared" si="27"/>
        <v>0</v>
      </c>
      <c r="K154" s="67"/>
      <c r="L154" s="130"/>
      <c r="M154" s="67">
        <f t="shared" si="28"/>
        <v>0</v>
      </c>
      <c r="N154" s="130"/>
      <c r="O154" s="67">
        <f t="shared" si="29"/>
        <v>0</v>
      </c>
      <c r="P154" s="67">
        <f t="shared" si="30"/>
        <v>0</v>
      </c>
    </row>
    <row r="155" spans="2:16" ht="13" thickBot="1">
      <c r="B155" t="str">
        <f t="shared" si="15"/>
        <v/>
      </c>
      <c r="C155" s="73">
        <f>IF(D94="","-",+C154+1)</f>
        <v>2073</v>
      </c>
      <c r="D155" s="99">
        <f>IF(F154+SUM(E$100:E154)=D$93,F154,D$93-SUM(E$100:E154))</f>
        <v>0</v>
      </c>
      <c r="E155" s="75">
        <f t="shared" si="31"/>
        <v>0</v>
      </c>
      <c r="F155" s="74">
        <f t="shared" si="25"/>
        <v>0</v>
      </c>
      <c r="G155" s="74">
        <f t="shared" si="26"/>
        <v>0</v>
      </c>
      <c r="H155" s="138">
        <f t="shared" si="16"/>
        <v>0</v>
      </c>
      <c r="I155" s="139">
        <f t="shared" si="24"/>
        <v>0</v>
      </c>
      <c r="J155" s="78">
        <f t="shared" si="27"/>
        <v>0</v>
      </c>
      <c r="K155" s="67"/>
      <c r="L155" s="131"/>
      <c r="M155" s="78">
        <f t="shared" si="28"/>
        <v>0</v>
      </c>
      <c r="N155" s="131"/>
      <c r="O155" s="78">
        <f t="shared" si="29"/>
        <v>0</v>
      </c>
      <c r="P155" s="78">
        <f t="shared" si="30"/>
        <v>0</v>
      </c>
    </row>
    <row r="156" spans="2:16" ht="12.5">
      <c r="C156" s="63" t="s">
        <v>75</v>
      </c>
      <c r="D156" s="19"/>
      <c r="E156" s="19">
        <f>SUM(E100:E155)</f>
        <v>0</v>
      </c>
      <c r="F156" s="19"/>
      <c r="G156" s="19"/>
      <c r="H156" s="19">
        <f>SUM(H100:H155)</f>
        <v>0</v>
      </c>
      <c r="I156" s="19">
        <f>SUM(I100:I155)</f>
        <v>0</v>
      </c>
      <c r="J156" s="19">
        <f>SUM(J100:J155)</f>
        <v>0</v>
      </c>
      <c r="K156" s="19"/>
      <c r="L156" s="19"/>
      <c r="M156" s="19"/>
      <c r="N156" s="19"/>
      <c r="O156" s="19"/>
      <c r="P156" s="1"/>
    </row>
    <row r="157" spans="2:16" ht="12.5">
      <c r="C157" t="s">
        <v>90</v>
      </c>
      <c r="D157" s="2"/>
      <c r="E157" s="1"/>
      <c r="F157" s="1"/>
      <c r="G157" s="1"/>
      <c r="H157" s="1"/>
      <c r="I157" s="3"/>
      <c r="J157" s="3"/>
      <c r="K157" s="19"/>
      <c r="L157" s="3"/>
      <c r="M157" s="3"/>
      <c r="N157" s="3"/>
      <c r="O157" s="3"/>
      <c r="P157" s="1"/>
    </row>
    <row r="158" spans="2:16" ht="12.5">
      <c r="C158" s="100"/>
      <c r="D158" s="2"/>
      <c r="E158" s="1"/>
      <c r="F158" s="1"/>
      <c r="G158" s="1"/>
      <c r="H158" s="1"/>
      <c r="I158" s="3"/>
      <c r="J158" s="3"/>
      <c r="K158" s="19"/>
      <c r="L158" s="3"/>
      <c r="M158" s="3"/>
      <c r="N158" s="3"/>
      <c r="O158" s="3"/>
      <c r="P158" s="1"/>
    </row>
    <row r="159" spans="2:16" ht="13">
      <c r="C159" s="115" t="s">
        <v>130</v>
      </c>
      <c r="D159" s="2"/>
      <c r="E159" s="1"/>
      <c r="F159" s="1"/>
      <c r="G159" s="1"/>
      <c r="H159" s="1"/>
      <c r="I159" s="3"/>
      <c r="J159" s="3"/>
      <c r="K159" s="19"/>
      <c r="L159" s="3"/>
      <c r="M159" s="3"/>
      <c r="N159" s="3"/>
      <c r="O159" s="3"/>
      <c r="P159" s="1"/>
    </row>
    <row r="160" spans="2:16" ht="13">
      <c r="C160" s="31" t="s">
        <v>76</v>
      </c>
      <c r="D160" s="63"/>
      <c r="E160" s="63"/>
      <c r="F160" s="63"/>
      <c r="G160" s="63"/>
      <c r="H160" s="19"/>
      <c r="I160" s="19"/>
      <c r="J160" s="80"/>
      <c r="K160" s="80"/>
      <c r="L160" s="80"/>
      <c r="M160" s="80"/>
      <c r="N160" s="80"/>
      <c r="O160" s="80"/>
      <c r="P160" s="1"/>
    </row>
    <row r="161" spans="3:16" ht="13">
      <c r="C161" s="101" t="s">
        <v>77</v>
      </c>
      <c r="D161" s="63"/>
      <c r="E161" s="63"/>
      <c r="F161" s="63"/>
      <c r="G161" s="63"/>
      <c r="H161" s="19"/>
      <c r="I161" s="19"/>
      <c r="J161" s="80"/>
      <c r="K161" s="80"/>
      <c r="L161" s="80"/>
      <c r="M161" s="80"/>
      <c r="N161" s="80"/>
      <c r="O161" s="80"/>
      <c r="P161" s="1"/>
    </row>
    <row r="162" spans="3:16" ht="13">
      <c r="C162" s="101"/>
      <c r="D162" s="63"/>
      <c r="E162" s="63"/>
      <c r="F162" s="63"/>
      <c r="G162" s="63"/>
      <c r="H162" s="19"/>
      <c r="I162" s="19"/>
      <c r="J162" s="80"/>
      <c r="K162" s="80"/>
      <c r="L162" s="80"/>
      <c r="M162" s="80"/>
      <c r="N162" s="80"/>
      <c r="O162" s="80"/>
      <c r="P162" s="1"/>
    </row>
    <row r="163" spans="3:16" ht="17.5">
      <c r="C163" s="101"/>
      <c r="D163" s="63"/>
      <c r="E163" s="63"/>
      <c r="F163" s="63"/>
      <c r="G163" s="63"/>
      <c r="H163" s="19"/>
      <c r="I163" s="19"/>
      <c r="J163" s="80"/>
      <c r="K163" s="80"/>
      <c r="L163" s="80"/>
      <c r="M163" s="80"/>
      <c r="N163" s="80"/>
      <c r="P163" s="112" t="s">
        <v>129</v>
      </c>
    </row>
  </sheetData>
  <phoneticPr fontId="0" type="noConversion"/>
  <conditionalFormatting sqref="C17:C71 C73">
    <cfRule type="cellIs" dxfId="2" priority="2" stopIfTrue="1" operator="equal">
      <formula>$I$10</formula>
    </cfRule>
  </conditionalFormatting>
  <conditionalFormatting sqref="C100:C155">
    <cfRule type="cellIs" dxfId="1" priority="3" stopIfTrue="1" operator="equal">
      <formula>$J$93</formula>
    </cfRule>
  </conditionalFormatting>
  <conditionalFormatting sqref="C72">
    <cfRule type="cellIs" dxfId="0"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S137"/>
  <sheetViews>
    <sheetView topLeftCell="A9" zoomScale="80" zoomScaleNormal="80" zoomScaleSheetLayoutView="100" workbookViewId="0">
      <selection activeCell="P113" sqref="P113"/>
    </sheetView>
  </sheetViews>
  <sheetFormatPr defaultColWidth="8.7265625" defaultRowHeight="12.75" customHeight="1"/>
  <cols>
    <col min="1" max="1" width="4.7265625" style="145" customWidth="1"/>
    <col min="2" max="2" width="6.7265625" style="145" customWidth="1"/>
    <col min="3" max="3" width="20.7265625" style="145" customWidth="1"/>
    <col min="4" max="9" width="17.7265625" style="145" customWidth="1"/>
    <col min="10" max="10" width="17.7265625" style="145" bestFit="1" customWidth="1"/>
    <col min="11" max="11" width="2.1796875" style="145" customWidth="1"/>
    <col min="12" max="14" width="17.7265625" style="145" customWidth="1"/>
    <col min="15" max="15" width="20.81640625" style="145" customWidth="1"/>
    <col min="16" max="16" width="19.54296875" style="145" customWidth="1"/>
    <col min="17" max="17" width="2.1796875" style="145" customWidth="1"/>
    <col min="18" max="18" width="16.453125" style="145" customWidth="1"/>
    <col min="19" max="19" width="52.453125" style="145" customWidth="1"/>
    <col min="20" max="16384" width="8.7265625" style="145"/>
  </cols>
  <sheetData>
    <row r="1" spans="1:19" ht="17.5">
      <c r="A1" s="659" t="str">
        <f>OKT.WS.F.BPU.ATRR.Projected!A1</f>
        <v xml:space="preserve">AEP West SPP Member Companies </v>
      </c>
      <c r="B1" s="664"/>
      <c r="C1" s="664"/>
      <c r="D1" s="664"/>
      <c r="E1" s="664"/>
      <c r="F1" s="664"/>
      <c r="G1" s="664"/>
      <c r="H1" s="664"/>
      <c r="I1" s="664"/>
      <c r="J1" s="664"/>
      <c r="K1" s="664"/>
      <c r="Q1" s="221"/>
      <c r="R1" s="221"/>
    </row>
    <row r="2" spans="1:19" ht="17.5">
      <c r="A2" s="659" t="str">
        <f>OKT.WS.F.BPU.ATRR.Projected!A2</f>
        <v>2019 Cost of Service Formula Rate Projected on 2018 FF1 Balances</v>
      </c>
      <c r="B2" s="664"/>
      <c r="C2" s="664"/>
      <c r="D2" s="664"/>
      <c r="E2" s="664"/>
      <c r="F2" s="664"/>
      <c r="G2" s="664"/>
      <c r="H2" s="664"/>
      <c r="I2" s="664"/>
      <c r="J2" s="664"/>
      <c r="K2" s="664"/>
      <c r="Q2" s="233" t="s">
        <v>110</v>
      </c>
      <c r="R2" s="221"/>
    </row>
    <row r="3" spans="1:19" ht="18">
      <c r="A3" s="661" t="s">
        <v>125</v>
      </c>
      <c r="B3" s="662"/>
      <c r="C3" s="662"/>
      <c r="D3" s="662"/>
      <c r="E3" s="662"/>
      <c r="F3" s="662"/>
      <c r="G3" s="662"/>
      <c r="H3" s="662"/>
      <c r="I3" s="662"/>
      <c r="J3" s="662"/>
      <c r="K3" s="662"/>
      <c r="Q3" s="221"/>
      <c r="R3" s="221"/>
    </row>
    <row r="4" spans="1:19" ht="17.5">
      <c r="A4" s="662" t="str">
        <f>"Based on a Carrying Charge Derived from ""Trued-Up"" "&amp;M16&amp;" Data"</f>
        <v>Based on a Carrying Charge Derived from "Trued-Up" 2019 Data</v>
      </c>
      <c r="B4" s="662"/>
      <c r="C4" s="662"/>
      <c r="D4" s="662"/>
      <c r="E4" s="662"/>
      <c r="F4" s="662"/>
      <c r="G4" s="662"/>
      <c r="H4" s="662"/>
      <c r="I4" s="662"/>
      <c r="J4" s="662"/>
      <c r="K4" s="662"/>
      <c r="Q4" s="221"/>
      <c r="R4" s="221"/>
    </row>
    <row r="5" spans="1:19" ht="18">
      <c r="A5" s="665" t="str">
        <f>OKT.WS.F.BPU.ATRR.Projected!A5</f>
        <v>OKLAHOMA TRANSMISSION COMPANY</v>
      </c>
      <c r="B5" s="666"/>
      <c r="C5" s="666"/>
      <c r="D5" s="666"/>
      <c r="E5" s="666"/>
      <c r="F5" s="666"/>
      <c r="G5" s="666"/>
      <c r="H5" s="666"/>
      <c r="I5" s="666"/>
      <c r="J5" s="666"/>
      <c r="K5" s="666"/>
      <c r="Q5" s="221"/>
      <c r="R5" s="221"/>
    </row>
    <row r="6" spans="1:19" ht="20">
      <c r="A6" s="381"/>
      <c r="C6" s="306"/>
      <c r="D6" s="157"/>
      <c r="I6" s="213"/>
      <c r="K6" s="221"/>
      <c r="Q6" s="221"/>
      <c r="R6" s="221"/>
    </row>
    <row r="7" spans="1:19" ht="12.5">
      <c r="D7" s="157"/>
      <c r="I7" s="213"/>
      <c r="K7" s="221"/>
      <c r="Q7" s="221"/>
      <c r="R7" s="221"/>
    </row>
    <row r="8" spans="1:19" ht="39.75" customHeight="1">
      <c r="B8" s="234" t="s">
        <v>0</v>
      </c>
      <c r="C8" s="656" t="str">
        <f>"Calculate Return and Income Taxes with "&amp;F13&amp;" basis point ROE increase for Projects Qualified for Incentive."</f>
        <v>Calculate Return and Income Taxes with 0 basis point ROE increase for Projects Qualified for Incentive.</v>
      </c>
      <c r="D8" s="657"/>
      <c r="E8" s="657"/>
      <c r="F8" s="657"/>
      <c r="G8" s="657"/>
      <c r="H8" s="657"/>
      <c r="I8" s="657"/>
      <c r="K8" s="221"/>
      <c r="Q8" s="221"/>
      <c r="R8" s="221"/>
    </row>
    <row r="9" spans="1:19" ht="15.75" customHeight="1">
      <c r="C9" s="382"/>
      <c r="D9" s="382"/>
      <c r="E9" s="382"/>
      <c r="F9" s="382"/>
      <c r="G9" s="382"/>
      <c r="H9" s="382"/>
      <c r="I9" s="382"/>
      <c r="K9" s="221"/>
      <c r="Q9" s="221"/>
      <c r="R9" s="221"/>
    </row>
    <row r="10" spans="1:19" ht="15.5">
      <c r="C10" s="236" t="str">
        <f>"A.   Determine 'R' with hypothetical "&amp;F13&amp;" basis point increase in ROE for Identified Projects"</f>
        <v>A.   Determine 'R' with hypothetical 0 basis point increase in ROE for Identified Projects</v>
      </c>
      <c r="D10" s="157"/>
      <c r="I10" s="213"/>
      <c r="K10" s="221"/>
      <c r="Q10" s="221"/>
      <c r="R10" s="221"/>
    </row>
    <row r="11" spans="1:19" ht="12.5">
      <c r="D11" s="157"/>
      <c r="I11" s="213"/>
      <c r="K11" s="221"/>
      <c r="Q11" s="221"/>
      <c r="R11" s="221"/>
    </row>
    <row r="12" spans="1:19" ht="12.5">
      <c r="C12" s="237" t="str">
        <f>S105</f>
        <v xml:space="preserve">   ROE w/o incentives  (TCOS, ln 143)</v>
      </c>
      <c r="D12" s="157"/>
      <c r="E12" s="238"/>
      <c r="F12" s="239">
        <v>0.105</v>
      </c>
      <c r="G12" s="239"/>
      <c r="H12" s="240"/>
      <c r="I12" s="241"/>
      <c r="J12" s="242"/>
      <c r="K12" s="243"/>
      <c r="L12" s="242"/>
      <c r="M12" s="242"/>
      <c r="N12" s="242"/>
      <c r="O12" s="242"/>
      <c r="P12" s="242"/>
      <c r="Q12" s="243"/>
      <c r="R12" s="279"/>
      <c r="S12" s="244"/>
    </row>
    <row r="13" spans="1:19" ht="13" thickBot="1">
      <c r="C13" s="237" t="s">
        <v>1</v>
      </c>
      <c r="D13" s="157"/>
      <c r="E13" s="238"/>
      <c r="F13" s="246">
        <f>R106</f>
        <v>0</v>
      </c>
      <c r="G13" s="383" t="s">
        <v>133</v>
      </c>
      <c r="L13" s="242"/>
      <c r="M13" s="242"/>
      <c r="N13" s="242"/>
      <c r="O13" s="242"/>
      <c r="P13" s="242"/>
      <c r="Q13" s="243"/>
      <c r="R13" s="279"/>
      <c r="S13" s="244"/>
    </row>
    <row r="14" spans="1:19" ht="13">
      <c r="C14" s="237" t="str">
        <f>"   ROE with additional "&amp;F13&amp;" basis point incentive"</f>
        <v xml:space="preserve">   ROE with additional 0 basis point incentive</v>
      </c>
      <c r="D14" s="238"/>
      <c r="E14" s="238"/>
      <c r="F14" s="247">
        <f>IF((F12+(F13/10000)&gt;0.1245),"ERROR",F12+(F13/10000))</f>
        <v>0.105</v>
      </c>
      <c r="G14" s="248" t="s">
        <v>2</v>
      </c>
      <c r="I14" s="242"/>
      <c r="J14" s="242"/>
      <c r="K14" s="243"/>
      <c r="L14" s="384" t="s">
        <v>79</v>
      </c>
      <c r="M14" s="385"/>
      <c r="N14" s="385"/>
      <c r="O14" s="385"/>
      <c r="P14" s="386"/>
      <c r="Q14" s="243"/>
      <c r="R14" s="279"/>
      <c r="S14" s="244"/>
    </row>
    <row r="15" spans="1:19" ht="12.5">
      <c r="C15" s="237" t="s">
        <v>3</v>
      </c>
      <c r="D15" s="157"/>
      <c r="E15" s="238"/>
      <c r="F15" s="247"/>
      <c r="G15" s="247"/>
      <c r="H15" s="238"/>
      <c r="I15" s="242"/>
      <c r="J15" s="242"/>
      <c r="K15" s="243"/>
      <c r="L15" s="258"/>
      <c r="M15" s="243"/>
      <c r="N15" s="243" t="s">
        <v>9</v>
      </c>
      <c r="O15" s="243" t="s">
        <v>10</v>
      </c>
      <c r="P15" s="260" t="s">
        <v>11</v>
      </c>
      <c r="Q15" s="243"/>
      <c r="R15" s="279"/>
      <c r="S15" s="244"/>
    </row>
    <row r="16" spans="1:19" ht="12.5">
      <c r="C16" s="243"/>
      <c r="D16" s="250" t="s">
        <v>5</v>
      </c>
      <c r="E16" s="250" t="s">
        <v>6</v>
      </c>
      <c r="F16" s="251" t="s">
        <v>7</v>
      </c>
      <c r="G16" s="251"/>
      <c r="H16" s="238"/>
      <c r="I16" s="242"/>
      <c r="J16" s="242"/>
      <c r="K16" s="243"/>
      <c r="L16" s="258" t="s">
        <v>80</v>
      </c>
      <c r="M16" s="387">
        <v>2019</v>
      </c>
      <c r="N16" s="221"/>
      <c r="O16" s="221"/>
      <c r="P16" s="265"/>
      <c r="Q16" s="243"/>
      <c r="R16" s="279"/>
      <c r="S16" s="244"/>
    </row>
    <row r="17" spans="3:19" ht="12.5">
      <c r="C17" s="252" t="s">
        <v>8</v>
      </c>
      <c r="D17" s="253">
        <f>R107</f>
        <v>0.44194655758972329</v>
      </c>
      <c r="E17" s="388">
        <f>R108</f>
        <v>4.114257704572407E-2</v>
      </c>
      <c r="F17" s="389">
        <f>E17*D17</f>
        <v>1.8182820295727719E-2</v>
      </c>
      <c r="G17" s="389"/>
      <c r="H17" s="238"/>
      <c r="I17" s="242"/>
      <c r="J17" s="256"/>
      <c r="K17" s="257"/>
      <c r="L17" s="264"/>
      <c r="M17" s="390" t="s">
        <v>255</v>
      </c>
      <c r="N17" s="391">
        <f>SUM('OKT.001:OKT.xyz - blank'!M88)</f>
        <v>36715956.554148674</v>
      </c>
      <c r="O17" s="391">
        <f>SUM('OKT.001:OKT.xyz - blank'!N88)</f>
        <v>36715956.554148674</v>
      </c>
      <c r="P17" s="392">
        <f>+O17-N17</f>
        <v>0</v>
      </c>
      <c r="Q17" s="257"/>
      <c r="R17" s="279"/>
      <c r="S17" s="244"/>
    </row>
    <row r="18" spans="3:19" ht="13" thickBot="1">
      <c r="C18" s="252" t="s">
        <v>12</v>
      </c>
      <c r="D18" s="253">
        <f>R109</f>
        <v>0</v>
      </c>
      <c r="E18" s="388">
        <f>R110</f>
        <v>0</v>
      </c>
      <c r="F18" s="389">
        <f>E18*D18</f>
        <v>0</v>
      </c>
      <c r="G18" s="389"/>
      <c r="H18" s="261"/>
      <c r="I18" s="261"/>
      <c r="J18" s="262"/>
      <c r="K18" s="263"/>
      <c r="L18" s="264"/>
      <c r="M18" s="393" t="s">
        <v>256</v>
      </c>
      <c r="N18" s="394">
        <f>SUM('OKT.001:OKT.xyz - blank'!M89)</f>
        <v>39138830.897015929</v>
      </c>
      <c r="O18" s="394">
        <f>SUM('OKT.001:OKT.xyz - blank'!N89)</f>
        <v>39138830.897015929</v>
      </c>
      <c r="P18" s="271">
        <f>+O18-N18</f>
        <v>0</v>
      </c>
      <c r="Q18" s="263"/>
      <c r="R18" s="279"/>
      <c r="S18" s="244"/>
    </row>
    <row r="19" spans="3:19" ht="12.5">
      <c r="C19" s="266" t="s">
        <v>13</v>
      </c>
      <c r="D19" s="253">
        <f>R111</f>
        <v>0.55805344241027677</v>
      </c>
      <c r="E19" s="388">
        <f>+F14</f>
        <v>0.105</v>
      </c>
      <c r="F19" s="395">
        <f>E19*D19</f>
        <v>5.8595611453079059E-2</v>
      </c>
      <c r="G19" s="395"/>
      <c r="H19" s="261"/>
      <c r="I19" s="261"/>
      <c r="J19" s="247"/>
      <c r="K19" s="263"/>
      <c r="L19" s="264"/>
      <c r="M19" s="396" t="str">
        <f>"True-up Adjustment For "&amp;M16&amp;""</f>
        <v>True-up Adjustment For 2019</v>
      </c>
      <c r="N19" s="397">
        <f>ROUND(N18-N17,0)</f>
        <v>2422874</v>
      </c>
      <c r="O19" s="397">
        <f>ROUND(+O18-O17,0)</f>
        <v>2422874</v>
      </c>
      <c r="P19" s="397">
        <f>ROUND(+P18-P17,0)</f>
        <v>0</v>
      </c>
      <c r="Q19" s="263"/>
      <c r="R19" s="279"/>
      <c r="S19" s="244"/>
    </row>
    <row r="20" spans="3:19" ht="12.5">
      <c r="C20" s="237"/>
      <c r="D20" s="238"/>
      <c r="E20" s="290" t="s">
        <v>15</v>
      </c>
      <c r="F20" s="389">
        <f>SUM(F17:F19)</f>
        <v>7.6778431748806775E-2</v>
      </c>
      <c r="G20" s="389"/>
      <c r="H20" s="398"/>
      <c r="I20" s="261"/>
      <c r="J20" s="262"/>
      <c r="K20" s="263"/>
      <c r="L20" s="264"/>
      <c r="M20" s="221"/>
      <c r="N20" s="273" t="str">
        <f>IF(N19=ROUND(SUM('OKT.001:OKT.xyz - blank'!M90),0),"","ERROR")</f>
        <v/>
      </c>
      <c r="O20" s="273" t="str">
        <f>IF(O19=ROUND(SUM('OKT.001:OKT.xyz - blank'!N90),0),"","ERROR")</f>
        <v/>
      </c>
      <c r="P20" s="273" t="str">
        <f>IF(P19=ROUND(SUM('OKT.001:OKT.xyz - blank'!O90),0),"","ERROR")</f>
        <v/>
      </c>
      <c r="Q20" s="263"/>
      <c r="R20" s="279"/>
      <c r="S20" s="244"/>
    </row>
    <row r="21" spans="3:19" ht="13" thickBot="1">
      <c r="D21" s="274"/>
      <c r="E21" s="274"/>
      <c r="F21" s="261"/>
      <c r="G21" s="261"/>
      <c r="H21" s="261"/>
      <c r="I21" s="261"/>
      <c r="J21" s="261"/>
      <c r="K21" s="275"/>
      <c r="L21" s="399"/>
      <c r="M21" s="400"/>
      <c r="N21" s="401"/>
      <c r="O21" s="402"/>
      <c r="P21" s="271"/>
      <c r="Q21" s="275"/>
      <c r="R21" s="279"/>
      <c r="S21" s="244"/>
    </row>
    <row r="22" spans="3:19" ht="15.5">
      <c r="C22" s="236" t="str">
        <f>"B.   Determine Return using 'R' with hypothetical "&amp;F13&amp;" basis point ROE increase for Identified Projects."</f>
        <v>B.   Determine Return using 'R' with hypothetical 0 basis point ROE increase for Identified Projects.</v>
      </c>
      <c r="D22" s="274"/>
      <c r="E22" s="274"/>
      <c r="F22" s="276"/>
      <c r="G22" s="276"/>
      <c r="H22" s="261"/>
      <c r="I22" s="238"/>
      <c r="J22" s="261"/>
      <c r="K22" s="275"/>
      <c r="L22" s="261"/>
      <c r="M22" s="261"/>
      <c r="N22" s="261"/>
      <c r="O22" s="261"/>
      <c r="P22" s="261"/>
      <c r="Q22" s="275"/>
      <c r="R22" s="279"/>
      <c r="S22" s="244"/>
    </row>
    <row r="23" spans="3:19" ht="13">
      <c r="C23" s="243"/>
      <c r="D23" s="274"/>
      <c r="E23" s="274"/>
      <c r="F23" s="275"/>
      <c r="G23" s="275"/>
      <c r="H23" s="275"/>
      <c r="I23" s="275"/>
      <c r="J23" s="275"/>
      <c r="K23" s="275"/>
      <c r="L23" s="175" t="s">
        <v>16</v>
      </c>
      <c r="M23" s="275"/>
      <c r="N23" s="275"/>
      <c r="O23" s="275"/>
      <c r="P23" s="275"/>
      <c r="Q23" s="275"/>
      <c r="R23" s="279"/>
      <c r="S23" s="244"/>
    </row>
    <row r="24" spans="3:19" ht="12.5">
      <c r="C24" s="237" t="str">
        <f>S112</f>
        <v xml:space="preserve">   Rate Base  (TCOS, ln 63)</v>
      </c>
      <c r="D24" s="238"/>
      <c r="E24" s="280">
        <f>R112</f>
        <v>695216659.71242821</v>
      </c>
      <c r="F24" s="281"/>
      <c r="G24" s="281"/>
      <c r="H24" s="275"/>
      <c r="I24" s="275"/>
      <c r="J24" s="275"/>
      <c r="K24" s="275"/>
      <c r="L24" s="145" t="s">
        <v>17</v>
      </c>
      <c r="M24" s="275"/>
      <c r="N24" s="275"/>
      <c r="O24" s="275"/>
      <c r="P24" s="281"/>
      <c r="Q24" s="275"/>
      <c r="R24" s="279"/>
      <c r="S24" s="244"/>
    </row>
    <row r="25" spans="3:19" ht="12.5">
      <c r="C25" s="243" t="s">
        <v>18</v>
      </c>
      <c r="D25" s="240"/>
      <c r="E25" s="282">
        <f>F20</f>
        <v>7.6778431748806775E-2</v>
      </c>
      <c r="F25" s="275"/>
      <c r="G25" s="275"/>
      <c r="H25" s="275"/>
      <c r="I25" s="275"/>
      <c r="J25" s="275"/>
      <c r="K25" s="275"/>
      <c r="L25" s="275"/>
      <c r="M25" s="275"/>
      <c r="N25" s="275"/>
      <c r="O25" s="275"/>
      <c r="P25" s="275"/>
      <c r="Q25" s="275"/>
      <c r="R25" s="279"/>
      <c r="S25" s="244"/>
    </row>
    <row r="26" spans="3:19" ht="12.5">
      <c r="C26" s="284" t="s">
        <v>19</v>
      </c>
      <c r="D26" s="284"/>
      <c r="E26" s="262">
        <f>E24*E25</f>
        <v>53377644.85836409</v>
      </c>
      <c r="F26" s="275"/>
      <c r="G26" s="275"/>
      <c r="H26" s="275"/>
      <c r="I26" s="275"/>
      <c r="J26" s="263"/>
      <c r="K26" s="263"/>
      <c r="L26" s="263"/>
      <c r="M26" s="263"/>
      <c r="N26" s="263"/>
      <c r="O26" s="263"/>
      <c r="P26" s="275"/>
      <c r="Q26" s="263"/>
      <c r="R26" s="279"/>
      <c r="S26" s="244"/>
    </row>
    <row r="27" spans="3:19" ht="13" thickBot="1">
      <c r="C27" s="285"/>
      <c r="D27" s="242"/>
      <c r="E27" s="242"/>
      <c r="F27" s="275"/>
      <c r="G27" s="275"/>
      <c r="H27" s="275"/>
      <c r="I27" s="275"/>
      <c r="J27" s="263"/>
      <c r="K27" s="263"/>
      <c r="L27" s="263"/>
      <c r="M27" s="263"/>
      <c r="N27" s="403">
        <v>39804485.030792631</v>
      </c>
      <c r="O27" s="263"/>
      <c r="P27" s="275"/>
      <c r="Q27" s="263"/>
      <c r="R27" s="279"/>
      <c r="S27" s="244"/>
    </row>
    <row r="28" spans="3:19" ht="15.5">
      <c r="C28" s="236" t="str">
        <f>"C.   Determine Income Taxes using Return with hypothetical "&amp;F13&amp;" basis point ROE increase for Identified Projects."</f>
        <v>C.   Determine Income Taxes using Return with hypothetical 0 basis point ROE increase for Identified Projects.</v>
      </c>
      <c r="D28" s="286"/>
      <c r="E28" s="286"/>
      <c r="F28" s="287"/>
      <c r="G28" s="287"/>
      <c r="H28" s="287"/>
      <c r="I28" s="287"/>
      <c r="J28" s="288"/>
      <c r="K28" s="288"/>
      <c r="L28" s="288"/>
      <c r="M28" s="288"/>
      <c r="N28" s="288">
        <f>+N18</f>
        <v>39138830.897015929</v>
      </c>
      <c r="O28" s="404"/>
      <c r="P28" s="287"/>
      <c r="Q28" s="288"/>
      <c r="R28" s="279"/>
      <c r="S28" s="244"/>
    </row>
    <row r="29" spans="3:19" ht="12.5">
      <c r="C29" s="237"/>
      <c r="D29" s="242"/>
      <c r="E29" s="242"/>
      <c r="F29" s="275"/>
      <c r="G29" s="275"/>
      <c r="H29" s="275"/>
      <c r="I29" s="275"/>
      <c r="J29" s="263"/>
      <c r="K29" s="263"/>
      <c r="L29" s="263"/>
      <c r="M29" s="263"/>
      <c r="N29" s="405">
        <f>+N27-N28</f>
        <v>665654.13377670199</v>
      </c>
      <c r="O29" s="263"/>
      <c r="P29" s="275"/>
      <c r="Q29" s="263"/>
      <c r="R29" s="279"/>
      <c r="S29" s="244"/>
    </row>
    <row r="30" spans="3:19" ht="12.5">
      <c r="C30" s="243" t="s">
        <v>20</v>
      </c>
      <c r="D30" s="290"/>
      <c r="E30" s="291">
        <f>E26</f>
        <v>53377644.85836409</v>
      </c>
      <c r="F30" s="275"/>
      <c r="G30" s="275"/>
      <c r="H30" s="275"/>
      <c r="I30" s="275"/>
      <c r="J30" s="275"/>
      <c r="K30" s="275"/>
      <c r="L30" s="275"/>
      <c r="M30" s="275"/>
      <c r="N30" s="275"/>
      <c r="O30" s="275"/>
      <c r="P30" s="275"/>
      <c r="Q30" s="275"/>
      <c r="R30" s="279"/>
      <c r="S30" s="244"/>
    </row>
    <row r="31" spans="3:19" ht="12.5">
      <c r="C31" s="237" t="str">
        <f>S113</f>
        <v xml:space="preserve">   Tax Rate  (TCOS, ln 99)</v>
      </c>
      <c r="D31" s="290"/>
      <c r="E31" s="292">
        <f>R113</f>
        <v>0.254714</v>
      </c>
      <c r="F31" s="275"/>
      <c r="G31" s="275"/>
      <c r="H31" s="275"/>
      <c r="I31" s="275"/>
      <c r="J31" s="275"/>
      <c r="K31" s="275"/>
      <c r="L31" s="275"/>
      <c r="M31" s="275"/>
      <c r="N31" s="275"/>
      <c r="O31" s="275"/>
      <c r="P31" s="275"/>
      <c r="Q31" s="275"/>
      <c r="R31" s="279"/>
      <c r="S31" s="279"/>
    </row>
    <row r="32" spans="3:19" ht="12.5">
      <c r="C32" s="243" t="s">
        <v>21</v>
      </c>
      <c r="D32" s="293"/>
      <c r="E32" s="247">
        <f>IF(F17&gt;0,($E31/(1-$E31))*(1-$F17/$F20),0)</f>
        <v>0.26082889784827401</v>
      </c>
      <c r="F32" s="279"/>
      <c r="G32" s="279"/>
      <c r="H32" s="279"/>
      <c r="I32" s="295"/>
      <c r="J32" s="279"/>
      <c r="K32" s="279"/>
      <c r="L32" s="279"/>
      <c r="M32" s="279"/>
      <c r="N32" s="279"/>
      <c r="O32" s="279"/>
      <c r="P32" s="279"/>
      <c r="Q32" s="279"/>
      <c r="R32" s="279"/>
      <c r="S32" s="292"/>
    </row>
    <row r="33" spans="2:19" ht="12.5">
      <c r="C33" s="406" t="s">
        <v>22</v>
      </c>
      <c r="D33" s="407"/>
      <c r="E33" s="298">
        <f>E30*E32</f>
        <v>13922432.278143696</v>
      </c>
      <c r="F33" s="279"/>
      <c r="G33" s="279"/>
      <c r="H33" s="279"/>
      <c r="I33" s="295"/>
      <c r="J33" s="279"/>
      <c r="K33" s="279"/>
      <c r="L33" s="279"/>
      <c r="M33" s="279"/>
      <c r="N33" s="279"/>
      <c r="O33" s="279"/>
      <c r="P33" s="279"/>
      <c r="Q33" s="279"/>
      <c r="R33" s="279"/>
      <c r="S33" s="279"/>
    </row>
    <row r="34" spans="2:19" ht="15.5">
      <c r="C34" s="237" t="str">
        <f>S114</f>
        <v xml:space="preserve">   ITC Adjustment  (TCOS, ln 108)</v>
      </c>
      <c r="D34" s="301"/>
      <c r="E34" s="302">
        <f>R114</f>
        <v>0</v>
      </c>
      <c r="F34" s="279"/>
      <c r="G34" s="279"/>
      <c r="H34" s="279"/>
      <c r="I34" s="295"/>
      <c r="J34" s="279"/>
      <c r="K34" s="279"/>
      <c r="L34" s="279"/>
      <c r="M34" s="279"/>
      <c r="N34" s="279"/>
      <c r="O34" s="279"/>
      <c r="P34" s="279"/>
      <c r="Q34" s="279"/>
      <c r="R34" s="279"/>
      <c r="S34" s="279"/>
    </row>
    <row r="35" spans="2:19" ht="12.5">
      <c r="C35" s="408" t="s">
        <v>291</v>
      </c>
      <c r="D35" s="409"/>
      <c r="E35" s="410">
        <v>871276.53008375282</v>
      </c>
      <c r="F35" s="279"/>
      <c r="G35" s="279"/>
      <c r="H35" s="279"/>
      <c r="I35" s="295"/>
      <c r="J35" s="279"/>
      <c r="K35" s="279"/>
      <c r="L35" s="279"/>
      <c r="M35" s="279"/>
      <c r="N35" s="279"/>
      <c r="O35" s="279"/>
      <c r="P35" s="279"/>
      <c r="Q35" s="279"/>
      <c r="R35" s="279"/>
      <c r="S35" s="279"/>
    </row>
    <row r="36" spans="2:19" ht="15.5">
      <c r="C36" s="408" t="s">
        <v>292</v>
      </c>
      <c r="D36" s="301"/>
      <c r="E36" s="410">
        <v>237532.97391873723</v>
      </c>
      <c r="F36" s="301"/>
      <c r="G36" s="301"/>
      <c r="H36" s="301"/>
      <c r="I36" s="301"/>
      <c r="J36" s="301"/>
      <c r="K36" s="301"/>
      <c r="L36" s="301"/>
      <c r="M36" s="301"/>
      <c r="N36" s="301"/>
      <c r="O36" s="301"/>
      <c r="P36" s="303"/>
      <c r="Q36" s="301"/>
      <c r="R36" s="279"/>
      <c r="S36" s="279"/>
    </row>
    <row r="37" spans="2:19" ht="15.5">
      <c r="C37" s="406" t="s">
        <v>23</v>
      </c>
      <c r="D37" s="411"/>
      <c r="E37" s="412">
        <f>SUM(E33:E36)</f>
        <v>15031241.782146187</v>
      </c>
      <c r="F37" s="301"/>
      <c r="G37" s="301"/>
      <c r="H37" s="301"/>
      <c r="I37" s="301"/>
      <c r="J37" s="301"/>
      <c r="K37" s="301"/>
      <c r="L37" s="301"/>
      <c r="M37" s="301"/>
      <c r="N37" s="301"/>
      <c r="O37" s="301"/>
      <c r="P37" s="304"/>
      <c r="Q37" s="301"/>
      <c r="R37" s="279"/>
      <c r="S37" s="244"/>
    </row>
    <row r="38" spans="2:19" ht="12.75" customHeight="1">
      <c r="C38" s="305"/>
      <c r="D38" s="301"/>
      <c r="E38" s="301"/>
      <c r="F38" s="301"/>
      <c r="G38" s="301"/>
      <c r="H38" s="301"/>
      <c r="I38" s="301"/>
      <c r="J38" s="301"/>
      <c r="K38" s="301"/>
      <c r="L38" s="301"/>
      <c r="M38" s="301"/>
      <c r="N38" s="301"/>
      <c r="O38" s="301"/>
      <c r="P38" s="304"/>
      <c r="Q38" s="301"/>
      <c r="R38" s="279"/>
      <c r="S38" s="244"/>
    </row>
    <row r="39" spans="2:19" ht="18">
      <c r="B39" s="234" t="s">
        <v>24</v>
      </c>
      <c r="C39" s="306" t="str">
        <f>"Calculate Net Plant Carrying Charge Rate (Fixed Charge Rate or FCR) with hypothetical "&amp;F13&amp;" basis point"</f>
        <v>Calculate Net Plant Carrying Charge Rate (Fixed Charge Rate or FCR) with hypothetical 0 basis point</v>
      </c>
      <c r="D39" s="301"/>
      <c r="E39" s="301"/>
      <c r="F39" s="301"/>
      <c r="G39" s="301"/>
      <c r="H39" s="301"/>
      <c r="I39" s="301"/>
      <c r="J39" s="301"/>
      <c r="K39" s="301"/>
      <c r="L39" s="301"/>
      <c r="M39" s="301"/>
      <c r="N39" s="301"/>
      <c r="O39" s="301"/>
      <c r="P39" s="304"/>
      <c r="Q39" s="301"/>
      <c r="R39" s="279"/>
      <c r="S39" s="244"/>
    </row>
    <row r="40" spans="2:19" ht="18.75" customHeight="1">
      <c r="B40" s="234"/>
      <c r="C40" s="306" t="str">
        <f>"ROE increase."</f>
        <v>ROE increase.</v>
      </c>
      <c r="D40" s="301"/>
      <c r="E40" s="301"/>
      <c r="F40" s="301"/>
      <c r="G40" s="301"/>
      <c r="H40" s="301"/>
      <c r="I40" s="301"/>
      <c r="J40" s="301"/>
      <c r="K40" s="301"/>
      <c r="L40" s="301"/>
      <c r="M40" s="301"/>
      <c r="N40" s="301"/>
      <c r="O40" s="301"/>
      <c r="P40" s="304"/>
      <c r="Q40" s="301"/>
      <c r="R40" s="279"/>
      <c r="S40" s="244"/>
    </row>
    <row r="41" spans="2:19" ht="12.75" customHeight="1">
      <c r="C41" s="305"/>
      <c r="D41" s="301"/>
      <c r="E41" s="301"/>
      <c r="F41" s="301"/>
      <c r="G41" s="301"/>
      <c r="H41" s="301"/>
      <c r="I41" s="301"/>
      <c r="J41" s="301"/>
      <c r="K41" s="301"/>
      <c r="L41" s="301"/>
      <c r="M41" s="301"/>
      <c r="N41" s="301"/>
      <c r="O41" s="301"/>
      <c r="P41" s="304"/>
      <c r="Q41" s="301"/>
      <c r="R41" s="279"/>
      <c r="S41" s="244"/>
    </row>
    <row r="42" spans="2:19" ht="15.5">
      <c r="B42" s="244"/>
      <c r="C42" s="307" t="s">
        <v>240</v>
      </c>
      <c r="D42" s="308"/>
      <c r="E42" s="308"/>
      <c r="F42" s="308"/>
      <c r="G42" s="308"/>
      <c r="H42" s="308"/>
      <c r="I42" s="308"/>
      <c r="J42" s="308"/>
      <c r="K42" s="308"/>
      <c r="L42" s="308"/>
      <c r="M42" s="308"/>
      <c r="N42" s="308"/>
      <c r="O42" s="308"/>
      <c r="P42" s="302"/>
      <c r="Q42" s="308"/>
      <c r="R42" s="279"/>
      <c r="S42" s="244"/>
    </row>
    <row r="43" spans="2:19" ht="15.5">
      <c r="B43" s="244"/>
      <c r="C43" s="307"/>
      <c r="D43" s="308"/>
      <c r="E43" s="308"/>
      <c r="F43" s="308"/>
      <c r="G43" s="308"/>
      <c r="H43" s="308"/>
      <c r="I43" s="308"/>
      <c r="J43" s="308"/>
      <c r="K43" s="308"/>
      <c r="L43" s="308"/>
      <c r="M43" s="308"/>
      <c r="N43" s="308"/>
      <c r="O43" s="308"/>
      <c r="P43" s="302"/>
      <c r="Q43" s="308"/>
      <c r="R43" s="279"/>
      <c r="S43" s="244"/>
    </row>
    <row r="44" spans="2:19" ht="12.75" customHeight="1">
      <c r="B44" s="244"/>
      <c r="C44" s="237" t="str">
        <f>S117</f>
        <v xml:space="preserve">   Net Revenue Requirement  (TCOS, ln 117)</v>
      </c>
      <c r="D44" s="308"/>
      <c r="E44" s="308"/>
      <c r="F44" s="302">
        <f>R117</f>
        <v>118750671.40136826</v>
      </c>
      <c r="G44" s="302"/>
      <c r="H44" s="308"/>
      <c r="I44" s="308"/>
      <c r="J44" s="308"/>
      <c r="K44" s="308"/>
      <c r="L44" s="308"/>
      <c r="M44" s="308"/>
      <c r="N44" s="308"/>
      <c r="O44" s="308"/>
      <c r="P44" s="302"/>
      <c r="Q44" s="308"/>
      <c r="R44" s="279"/>
      <c r="S44" s="244"/>
    </row>
    <row r="45" spans="2:19" ht="12.5">
      <c r="B45" s="244"/>
      <c r="C45" s="237" t="str">
        <f>S118</f>
        <v xml:space="preserve">   Return  (TCOS, ln 112)</v>
      </c>
      <c r="D45" s="308"/>
      <c r="E45" s="308"/>
      <c r="F45" s="302">
        <f>R118</f>
        <v>53377644.85836409</v>
      </c>
      <c r="G45" s="309"/>
      <c r="H45" s="310"/>
      <c r="I45" s="310"/>
      <c r="J45" s="310"/>
      <c r="K45" s="310"/>
      <c r="L45" s="310"/>
      <c r="M45" s="310"/>
      <c r="N45" s="310"/>
      <c r="O45" s="310"/>
      <c r="P45" s="302"/>
      <c r="Q45" s="310"/>
      <c r="R45" s="279"/>
      <c r="S45" s="244"/>
    </row>
    <row r="46" spans="2:19" ht="12.5">
      <c r="B46" s="244"/>
      <c r="C46" s="237" t="str">
        <f>S119</f>
        <v xml:space="preserve">   Income Taxes  (TCOS, ln 111)</v>
      </c>
      <c r="D46" s="308"/>
      <c r="E46" s="308"/>
      <c r="F46" s="302">
        <f>R119</f>
        <v>14931225.278414734</v>
      </c>
      <c r="G46" s="302"/>
      <c r="H46" s="308"/>
      <c r="I46" s="308"/>
      <c r="J46" s="311"/>
      <c r="K46" s="311"/>
      <c r="L46" s="311"/>
      <c r="M46" s="311"/>
      <c r="N46" s="311"/>
      <c r="O46" s="311"/>
      <c r="P46" s="308"/>
      <c r="Q46" s="311"/>
      <c r="R46" s="279"/>
      <c r="S46" s="244"/>
    </row>
    <row r="47" spans="2:19" ht="12.5">
      <c r="B47" s="244"/>
      <c r="C47" s="237" t="str">
        <f>S120</f>
        <v xml:space="preserve">  Gross Margin Taxes  (TCOS, ln 116)</v>
      </c>
      <c r="D47" s="308"/>
      <c r="E47" s="308"/>
      <c r="F47" s="313">
        <f>R120</f>
        <v>0</v>
      </c>
      <c r="G47" s="302"/>
      <c r="H47" s="308"/>
      <c r="I47" s="308"/>
      <c r="J47" s="311"/>
      <c r="K47" s="311"/>
      <c r="L47" s="311"/>
      <c r="M47" s="311"/>
      <c r="N47" s="311"/>
      <c r="O47" s="311"/>
      <c r="P47" s="308"/>
      <c r="Q47" s="311"/>
      <c r="R47" s="279"/>
      <c r="S47" s="244"/>
    </row>
    <row r="48" spans="2:19" ht="12.5">
      <c r="B48" s="244"/>
      <c r="C48" s="249" t="s">
        <v>25</v>
      </c>
      <c r="D48" s="308"/>
      <c r="E48" s="308"/>
      <c r="F48" s="309">
        <f>F44-F45-F46-F47</f>
        <v>50441801.264589436</v>
      </c>
      <c r="G48" s="309"/>
      <c r="H48" s="314"/>
      <c r="I48" s="308"/>
      <c r="J48" s="314"/>
      <c r="K48" s="314"/>
      <c r="L48" s="314"/>
      <c r="M48" s="314"/>
      <c r="N48" s="314"/>
      <c r="O48" s="314"/>
      <c r="P48" s="314"/>
      <c r="Q48" s="314"/>
      <c r="R48" s="279"/>
      <c r="S48" s="244"/>
    </row>
    <row r="49" spans="2:19" ht="12.5">
      <c r="B49" s="244"/>
      <c r="C49" s="312"/>
      <c r="D49" s="308"/>
      <c r="E49" s="308"/>
      <c r="F49" s="302"/>
      <c r="G49" s="302"/>
      <c r="H49" s="315"/>
      <c r="I49" s="316"/>
      <c r="J49" s="316"/>
      <c r="K49" s="316"/>
      <c r="L49" s="316"/>
      <c r="M49" s="316"/>
      <c r="N49" s="316"/>
      <c r="O49" s="316"/>
      <c r="P49" s="316"/>
      <c r="Q49" s="316"/>
      <c r="R49" s="279"/>
      <c r="S49" s="244"/>
    </row>
    <row r="50" spans="2:19" ht="15.5">
      <c r="B50" s="244"/>
      <c r="C50" s="236" t="str">
        <f>"B.   Determine Net Revenue Requirement with hypothetical "&amp;F13&amp;" basis point increase in ROE."</f>
        <v>B.   Determine Net Revenue Requirement with hypothetical 0 basis point increase in ROE.</v>
      </c>
      <c r="D50" s="317"/>
      <c r="E50" s="317"/>
      <c r="F50" s="302"/>
      <c r="G50" s="302"/>
      <c r="H50" s="315"/>
      <c r="I50" s="316"/>
      <c r="J50" s="316"/>
      <c r="K50" s="316"/>
      <c r="L50" s="316"/>
      <c r="M50" s="316"/>
      <c r="N50" s="316"/>
      <c r="O50" s="316"/>
      <c r="P50" s="316"/>
      <c r="Q50" s="316"/>
      <c r="R50" s="279"/>
      <c r="S50" s="244"/>
    </row>
    <row r="51" spans="2:19" ht="12.5">
      <c r="B51" s="244"/>
      <c r="C51" s="312"/>
      <c r="D51" s="317"/>
      <c r="E51" s="317"/>
      <c r="F51" s="302"/>
      <c r="G51" s="302"/>
      <c r="H51" s="315"/>
      <c r="I51" s="316"/>
      <c r="J51" s="316"/>
      <c r="K51" s="316"/>
      <c r="L51" s="316"/>
      <c r="M51" s="316"/>
      <c r="N51" s="316"/>
      <c r="O51" s="316"/>
      <c r="P51" s="316"/>
      <c r="Q51" s="316"/>
      <c r="R51" s="279"/>
      <c r="S51" s="244"/>
    </row>
    <row r="52" spans="2:19" ht="13">
      <c r="B52" s="244"/>
      <c r="C52" s="312" t="str">
        <f>C48</f>
        <v xml:space="preserve">   Net Revenue Requirement, Less Return and Taxes</v>
      </c>
      <c r="D52" s="317"/>
      <c r="E52" s="317"/>
      <c r="F52" s="302">
        <f>F48</f>
        <v>50441801.264589436</v>
      </c>
      <c r="G52" s="302"/>
      <c r="H52" s="308"/>
      <c r="I52" s="308"/>
      <c r="J52" s="308"/>
      <c r="K52" s="308"/>
      <c r="L52" s="308"/>
      <c r="M52" s="308"/>
      <c r="N52" s="308"/>
      <c r="O52" s="308"/>
      <c r="P52" s="320"/>
      <c r="Q52" s="308"/>
      <c r="R52" s="279"/>
      <c r="S52" s="244"/>
    </row>
    <row r="53" spans="2:19" ht="13">
      <c r="B53" s="244"/>
      <c r="C53" s="243" t="s">
        <v>92</v>
      </c>
      <c r="D53" s="322"/>
      <c r="E53" s="249"/>
      <c r="F53" s="323">
        <f>E26</f>
        <v>53377644.85836409</v>
      </c>
      <c r="G53" s="323"/>
      <c r="H53" s="249"/>
      <c r="I53" s="324"/>
      <c r="J53" s="249"/>
      <c r="K53" s="249"/>
      <c r="L53" s="249"/>
      <c r="M53" s="249"/>
      <c r="N53" s="249"/>
      <c r="O53" s="249"/>
      <c r="P53" s="249"/>
      <c r="Q53" s="249"/>
      <c r="R53" s="279"/>
      <c r="S53" s="244"/>
    </row>
    <row r="54" spans="2:19" ht="12.75" customHeight="1">
      <c r="B54" s="244"/>
      <c r="C54" s="237" t="s">
        <v>26</v>
      </c>
      <c r="D54" s="308"/>
      <c r="E54" s="308"/>
      <c r="F54" s="413">
        <f>E37</f>
        <v>15031241.782146187</v>
      </c>
      <c r="G54" s="325"/>
      <c r="H54" s="244"/>
      <c r="I54" s="326"/>
      <c r="J54" s="244"/>
      <c r="K54" s="279"/>
      <c r="L54" s="244"/>
      <c r="M54" s="244"/>
      <c r="N54" s="244"/>
      <c r="O54" s="244"/>
      <c r="P54" s="244"/>
      <c r="Q54" s="279"/>
      <c r="R54" s="279"/>
      <c r="S54" s="244"/>
    </row>
    <row r="55" spans="2:19" ht="12.5">
      <c r="B55" s="244"/>
      <c r="C55" s="249" t="str">
        <f>"   Net Revenue Requirement, with "&amp;F13&amp;" Basis Point ROE increase"</f>
        <v xml:space="preserve">   Net Revenue Requirement, with 0 Basis Point ROE increase</v>
      </c>
      <c r="D55" s="293"/>
      <c r="E55" s="244"/>
      <c r="F55" s="327">
        <f>SUM(F52:F54)</f>
        <v>118850687.90509972</v>
      </c>
      <c r="G55" s="327"/>
      <c r="H55" s="244"/>
      <c r="I55" s="326"/>
      <c r="J55" s="244"/>
      <c r="K55" s="279"/>
      <c r="L55" s="244"/>
      <c r="M55" s="244"/>
      <c r="N55" s="244"/>
      <c r="O55" s="244"/>
      <c r="P55" s="244"/>
      <c r="Q55" s="279"/>
      <c r="R55" s="279"/>
      <c r="S55" s="244"/>
    </row>
    <row r="56" spans="2:19" ht="12.5">
      <c r="B56" s="244"/>
      <c r="C56" s="300" t="str">
        <f>"   Gross Margin Tax with "&amp;F13&amp;" Basis Point ROE Increase (II C. below)"</f>
        <v xml:space="preserve">   Gross Margin Tax with 0 Basis Point ROE Increase (II C. below)</v>
      </c>
      <c r="D56" s="328"/>
      <c r="E56" s="328"/>
      <c r="F56" s="329">
        <f>+F71</f>
        <v>0</v>
      </c>
      <c r="G56" s="323"/>
      <c r="H56" s="244"/>
      <c r="I56" s="326"/>
      <c r="J56" s="244"/>
      <c r="K56" s="279"/>
      <c r="L56" s="244"/>
      <c r="M56" s="244"/>
      <c r="N56" s="244"/>
      <c r="O56" s="244"/>
      <c r="P56" s="244"/>
      <c r="Q56" s="279"/>
      <c r="R56" s="279"/>
      <c r="S56" s="244"/>
    </row>
    <row r="57" spans="2:19" ht="12.5">
      <c r="B57" s="244"/>
      <c r="C57" s="249" t="s">
        <v>27</v>
      </c>
      <c r="D57" s="293"/>
      <c r="E57" s="244"/>
      <c r="F57" s="299">
        <f>+F55+F56</f>
        <v>118850687.90509972</v>
      </c>
      <c r="G57" s="299"/>
      <c r="H57" s="244"/>
      <c r="I57" s="326"/>
      <c r="J57" s="244"/>
      <c r="K57" s="279"/>
      <c r="L57" s="244"/>
      <c r="M57" s="244"/>
      <c r="N57" s="244"/>
      <c r="O57" s="244"/>
      <c r="P57" s="244"/>
      <c r="Q57" s="279"/>
      <c r="R57" s="279"/>
      <c r="S57" s="244"/>
    </row>
    <row r="58" spans="2:19" ht="12.5">
      <c r="B58" s="244"/>
      <c r="C58" s="237" t="str">
        <f>S121</f>
        <v xml:space="preserve">   Less: Depreciation  (TCOS, ln 86)</v>
      </c>
      <c r="D58" s="293"/>
      <c r="E58" s="244"/>
      <c r="F58" s="330">
        <f>R121</f>
        <v>27192293.600820702</v>
      </c>
      <c r="G58" s="330"/>
      <c r="H58" s="244"/>
      <c r="I58" s="326"/>
      <c r="J58" s="244"/>
      <c r="K58" s="279"/>
      <c r="L58" s="244"/>
      <c r="M58" s="244"/>
      <c r="N58" s="244"/>
      <c r="O58" s="244"/>
      <c r="P58" s="244"/>
      <c r="Q58" s="279"/>
      <c r="R58" s="279"/>
      <c r="S58" s="244"/>
    </row>
    <row r="59" spans="2:19" ht="12.5">
      <c r="B59" s="244"/>
      <c r="C59" s="249" t="str">
        <f>"   Net Rev. Req, w/"&amp;F13&amp;" Basis Point ROE increase, less Depreciation"</f>
        <v xml:space="preserve">   Net Rev. Req, w/0 Basis Point ROE increase, less Depreciation</v>
      </c>
      <c r="D59" s="293"/>
      <c r="E59" s="244"/>
      <c r="F59" s="327">
        <f>F57-F58</f>
        <v>91658394.304279014</v>
      </c>
      <c r="G59" s="327"/>
      <c r="H59" s="244"/>
      <c r="I59" s="326"/>
      <c r="J59" s="244"/>
      <c r="K59" s="279"/>
      <c r="L59" s="244"/>
      <c r="M59" s="244"/>
      <c r="N59" s="244"/>
      <c r="O59" s="244"/>
      <c r="P59" s="244"/>
      <c r="Q59" s="279"/>
      <c r="R59" s="279"/>
      <c r="S59" s="244"/>
    </row>
    <row r="60" spans="2:19" ht="12.5">
      <c r="B60" s="244"/>
      <c r="C60" s="244"/>
      <c r="D60" s="293"/>
      <c r="E60" s="244"/>
      <c r="F60" s="244"/>
      <c r="G60" s="244"/>
      <c r="H60" s="244"/>
      <c r="I60" s="326"/>
      <c r="J60" s="244"/>
      <c r="K60" s="279"/>
      <c r="L60" s="244"/>
      <c r="M60" s="244"/>
      <c r="N60" s="244"/>
      <c r="O60" s="244"/>
      <c r="P60" s="244"/>
      <c r="Q60" s="279"/>
      <c r="R60" s="279"/>
      <c r="S60" s="244"/>
    </row>
    <row r="61" spans="2:19" ht="15.5">
      <c r="B61" s="244"/>
      <c r="C61" s="307" t="str">
        <f>"C.   Determine Gross Margin Tax with hypothetical "&amp;F13&amp;" basis point increase in ROE."</f>
        <v>C.   Determine Gross Margin Tax with hypothetical 0 basis point increase in ROE.</v>
      </c>
      <c r="D61" s="331"/>
      <c r="E61" s="331"/>
      <c r="F61" s="332"/>
      <c r="G61" s="332"/>
      <c r="H61" s="245"/>
      <c r="I61" s="326"/>
      <c r="J61" s="244"/>
      <c r="K61" s="279"/>
      <c r="L61" s="244"/>
      <c r="M61" s="244"/>
      <c r="N61" s="244"/>
      <c r="O61" s="244"/>
      <c r="P61" s="244"/>
      <c r="Q61" s="279"/>
      <c r="R61" s="279"/>
      <c r="S61" s="244"/>
    </row>
    <row r="62" spans="2:19" ht="12.5">
      <c r="B62" s="244"/>
      <c r="C62" s="300" t="str">
        <f>"   Net Revenue Requirement before Gross Margin Taxes, with "&amp;F13&amp;" "</f>
        <v xml:space="preserve">   Net Revenue Requirement before Gross Margin Taxes, with 0 </v>
      </c>
      <c r="D62" s="331"/>
      <c r="E62" s="331"/>
      <c r="F62" s="332">
        <f>+F55</f>
        <v>118850687.90509972</v>
      </c>
      <c r="G62" s="332"/>
      <c r="H62" s="245"/>
      <c r="I62" s="326"/>
      <c r="J62" s="244"/>
      <c r="K62" s="279"/>
      <c r="L62" s="244"/>
      <c r="M62" s="244"/>
      <c r="N62" s="244"/>
      <c r="O62" s="244"/>
      <c r="P62" s="244"/>
      <c r="Q62" s="279"/>
      <c r="R62" s="279"/>
      <c r="S62" s="244"/>
    </row>
    <row r="63" spans="2:19" ht="12.5">
      <c r="B63" s="244"/>
      <c r="C63" s="300" t="s">
        <v>28</v>
      </c>
      <c r="D63" s="331"/>
      <c r="E63" s="331"/>
      <c r="F63" s="332"/>
      <c r="G63" s="332"/>
      <c r="H63" s="245"/>
      <c r="I63" s="326"/>
      <c r="J63" s="244"/>
      <c r="K63" s="279"/>
      <c r="L63" s="244"/>
      <c r="M63" s="244"/>
      <c r="N63" s="244"/>
      <c r="O63" s="244"/>
      <c r="P63" s="244"/>
      <c r="Q63" s="279"/>
      <c r="R63" s="279"/>
      <c r="S63" s="244"/>
    </row>
    <row r="64" spans="2:19" ht="12.5">
      <c r="B64" s="244"/>
      <c r="C64" s="249" t="str">
        <f>S120</f>
        <v xml:space="preserve">  Gross Margin Taxes  (TCOS, ln 116)</v>
      </c>
      <c r="D64" s="334"/>
      <c r="E64" s="245"/>
      <c r="F64" s="335">
        <f>R120</f>
        <v>0</v>
      </c>
      <c r="G64" s="414"/>
      <c r="H64" s="245"/>
      <c r="I64" s="326"/>
      <c r="J64" s="244"/>
      <c r="K64" s="279"/>
      <c r="L64" s="244"/>
      <c r="M64" s="244"/>
      <c r="N64" s="244"/>
      <c r="O64" s="244"/>
      <c r="P64" s="244"/>
      <c r="Q64" s="279"/>
      <c r="R64" s="279"/>
      <c r="S64" s="244"/>
    </row>
    <row r="65" spans="2:19" ht="12.5">
      <c r="B65" s="244"/>
      <c r="C65" s="249" t="s">
        <v>29</v>
      </c>
      <c r="D65" s="334"/>
      <c r="E65" s="245"/>
      <c r="F65" s="332">
        <f>+F64*F62</f>
        <v>0</v>
      </c>
      <c r="G65" s="332"/>
      <c r="H65" s="245"/>
      <c r="I65" s="326"/>
      <c r="J65" s="244"/>
      <c r="K65" s="279"/>
      <c r="L65" s="244"/>
      <c r="M65" s="244"/>
      <c r="N65" s="244"/>
      <c r="O65" s="244"/>
      <c r="P65" s="244"/>
      <c r="Q65" s="279"/>
      <c r="R65" s="279"/>
      <c r="S65" s="244"/>
    </row>
    <row r="66" spans="2:19" ht="12.5">
      <c r="B66" s="244"/>
      <c r="C66" s="249" t="str">
        <f>+OKT.WS.F.BPU.ATRR.Projected!C64</f>
        <v xml:space="preserve">       Taxable Percentage of Revenue (22%)</v>
      </c>
      <c r="D66" s="334"/>
      <c r="E66" s="245"/>
      <c r="F66" s="336">
        <f>+OKT.WS.F.BPU.ATRR.Projected!F64</f>
        <v>0.22</v>
      </c>
      <c r="G66" s="415"/>
      <c r="H66" s="245"/>
      <c r="I66" s="326"/>
      <c r="J66" s="244"/>
      <c r="K66" s="279"/>
      <c r="L66" s="244"/>
      <c r="M66" s="244"/>
      <c r="N66" s="244"/>
      <c r="O66" s="244"/>
      <c r="P66" s="244"/>
      <c r="Q66" s="279"/>
      <c r="R66" s="279"/>
      <c r="S66" s="244"/>
    </row>
    <row r="67" spans="2:19" ht="12.5">
      <c r="B67" s="244"/>
      <c r="C67" s="249" t="s">
        <v>30</v>
      </c>
      <c r="D67" s="334"/>
      <c r="E67" s="245"/>
      <c r="F67" s="332">
        <f>+F65*F66</f>
        <v>0</v>
      </c>
      <c r="G67" s="332"/>
      <c r="H67" s="245"/>
      <c r="I67" s="326"/>
      <c r="J67" s="244"/>
      <c r="K67" s="279"/>
      <c r="L67" s="244"/>
      <c r="M67" s="244"/>
      <c r="N67" s="244"/>
      <c r="O67" s="244"/>
      <c r="P67" s="244"/>
      <c r="Q67" s="279"/>
      <c r="R67" s="279"/>
      <c r="S67" s="244"/>
    </row>
    <row r="68" spans="2:19" ht="12.5">
      <c r="B68" s="244"/>
      <c r="C68" s="249" t="s">
        <v>31</v>
      </c>
      <c r="D68" s="334"/>
      <c r="E68" s="245"/>
      <c r="F68" s="336">
        <v>0.01</v>
      </c>
      <c r="G68" s="415"/>
      <c r="H68" s="245"/>
      <c r="I68" s="326"/>
      <c r="J68" s="244"/>
      <c r="K68" s="279"/>
      <c r="L68" s="244"/>
      <c r="M68" s="244"/>
      <c r="N68" s="244"/>
      <c r="O68" s="244"/>
      <c r="P68" s="244"/>
      <c r="Q68" s="279"/>
      <c r="R68" s="279"/>
      <c r="S68" s="244"/>
    </row>
    <row r="69" spans="2:19" ht="12.5">
      <c r="B69" s="244"/>
      <c r="C69" s="249" t="s">
        <v>32</v>
      </c>
      <c r="D69" s="334"/>
      <c r="E69" s="245"/>
      <c r="F69" s="332">
        <f>+F67*F68</f>
        <v>0</v>
      </c>
      <c r="G69" s="332"/>
      <c r="H69" s="245"/>
      <c r="I69" s="326"/>
      <c r="J69" s="244"/>
      <c r="K69" s="279"/>
      <c r="L69" s="244"/>
      <c r="M69" s="244"/>
      <c r="N69" s="244"/>
      <c r="O69" s="244"/>
      <c r="P69" s="244"/>
      <c r="Q69" s="279"/>
      <c r="R69" s="279"/>
      <c r="S69" s="244"/>
    </row>
    <row r="70" spans="2:19" ht="12.5">
      <c r="B70" s="244"/>
      <c r="C70" s="249" t="s">
        <v>33</v>
      </c>
      <c r="D70" s="334"/>
      <c r="E70" s="245"/>
      <c r="F70" s="337">
        <f>+ROUND((F69*F66*F64)/(1-F68)*F68,0)</f>
        <v>0</v>
      </c>
      <c r="G70" s="416"/>
      <c r="H70" s="245"/>
      <c r="I70" s="326"/>
      <c r="J70" s="244"/>
      <c r="K70" s="279"/>
      <c r="L70" s="244"/>
      <c r="M70" s="244"/>
      <c r="N70" s="244"/>
      <c r="O70" s="244"/>
      <c r="P70" s="244"/>
      <c r="Q70" s="279"/>
      <c r="R70" s="279"/>
      <c r="S70" s="244"/>
    </row>
    <row r="71" spans="2:19" ht="12.5">
      <c r="B71" s="244"/>
      <c r="C71" s="249" t="s">
        <v>34</v>
      </c>
      <c r="D71" s="334"/>
      <c r="E71" s="245"/>
      <c r="F71" s="332">
        <f>+F69+F70</f>
        <v>0</v>
      </c>
      <c r="G71" s="332"/>
      <c r="H71" s="245"/>
      <c r="I71" s="326"/>
      <c r="J71" s="244"/>
      <c r="K71" s="279"/>
      <c r="L71" s="244"/>
      <c r="M71" s="244"/>
      <c r="N71" s="244"/>
      <c r="O71" s="244"/>
      <c r="P71" s="244"/>
      <c r="Q71" s="279"/>
      <c r="R71" s="279"/>
      <c r="S71" s="244"/>
    </row>
    <row r="72" spans="2:19" ht="12.5">
      <c r="B72" s="244"/>
      <c r="C72" s="244"/>
      <c r="D72" s="293"/>
      <c r="E72" s="244"/>
      <c r="F72" s="244"/>
      <c r="G72" s="244"/>
      <c r="H72" s="244"/>
      <c r="I72" s="326"/>
      <c r="J72" s="244"/>
      <c r="K72" s="279"/>
      <c r="L72" s="244"/>
      <c r="M72" s="244"/>
      <c r="N72" s="244"/>
      <c r="O72" s="244"/>
      <c r="P72" s="244"/>
      <c r="Q72" s="279"/>
      <c r="R72" s="279"/>
      <c r="S72" s="244"/>
    </row>
    <row r="73" spans="2:19" ht="15.5">
      <c r="B73" s="244"/>
      <c r="C73" s="236" t="str">
        <f>"D.   Determine FCR with hypothetical "&amp;F13&amp;" basis point ROE increase."</f>
        <v>D.   Determine FCR with hypothetical 0 basis point ROE increase.</v>
      </c>
      <c r="D73" s="293"/>
      <c r="E73" s="244"/>
      <c r="F73" s="244"/>
      <c r="G73" s="244"/>
      <c r="H73" s="244"/>
      <c r="I73" s="213"/>
      <c r="J73" s="244"/>
      <c r="K73" s="279"/>
      <c r="L73" s="244"/>
      <c r="M73" s="244"/>
      <c r="N73" s="244"/>
      <c r="O73" s="244"/>
      <c r="P73" s="244"/>
      <c r="Q73" s="279"/>
      <c r="R73" s="279"/>
      <c r="S73" s="244"/>
    </row>
    <row r="74" spans="2:19" ht="12.5">
      <c r="B74" s="244"/>
      <c r="C74" s="244"/>
      <c r="D74" s="293"/>
      <c r="E74" s="244"/>
      <c r="F74" s="244"/>
      <c r="G74" s="244"/>
      <c r="H74" s="244"/>
      <c r="I74" s="326"/>
      <c r="J74" s="244"/>
      <c r="K74" s="279"/>
      <c r="L74" s="244"/>
      <c r="M74" s="244"/>
      <c r="N74" s="244"/>
      <c r="O74" s="244"/>
      <c r="P74" s="244"/>
      <c r="Q74" s="279"/>
      <c r="R74" s="279"/>
      <c r="S74" s="244"/>
    </row>
    <row r="75" spans="2:19" ht="12.5">
      <c r="B75" s="244"/>
      <c r="C75" s="312" t="str">
        <f>S123</f>
        <v xml:space="preserve">   Net Transmission Plant  (TCOS, ln 37)</v>
      </c>
      <c r="D75" s="293"/>
      <c r="E75" s="244"/>
      <c r="F75" s="327">
        <f>R123</f>
        <v>847690343.26246154</v>
      </c>
      <c r="G75" s="327"/>
      <c r="I75" s="213"/>
      <c r="J75" s="244"/>
      <c r="K75" s="279"/>
      <c r="L75" s="244"/>
      <c r="M75" s="244"/>
      <c r="N75" s="244"/>
      <c r="O75" s="244"/>
      <c r="P75" s="244"/>
      <c r="Q75" s="279"/>
      <c r="R75" s="279"/>
      <c r="S75" s="244"/>
    </row>
    <row r="76" spans="2:19" ht="14">
      <c r="B76" s="244"/>
      <c r="C76" s="249" t="str">
        <f>"   Net Revenue Requirement, with "&amp;F13&amp;" Basis Point ROE increase"</f>
        <v xml:space="preserve">   Net Revenue Requirement, with 0 Basis Point ROE increase</v>
      </c>
      <c r="D76" s="293"/>
      <c r="E76" s="244"/>
      <c r="F76" s="417">
        <f>+F57</f>
        <v>118850687.90509972</v>
      </c>
      <c r="G76" s="417"/>
      <c r="I76" s="213"/>
      <c r="J76" s="244"/>
      <c r="K76" s="279"/>
      <c r="L76" s="244"/>
      <c r="M76" s="244"/>
      <c r="N76" s="244"/>
      <c r="O76" s="244"/>
      <c r="P76" s="244"/>
      <c r="Q76" s="279"/>
      <c r="R76" s="279"/>
      <c r="S76" s="244"/>
    </row>
    <row r="77" spans="2:19" ht="12.5">
      <c r="B77" s="244"/>
      <c r="C77" s="249" t="str">
        <f>"   FCR with "&amp;F13&amp;" Basis Point increase in ROE"</f>
        <v xml:space="preserve">   FCR with 0 Basis Point increase in ROE</v>
      </c>
      <c r="D77" s="293"/>
      <c r="E77" s="244"/>
      <c r="F77" s="340">
        <f>IF(F75=0,0,F76/F75)</f>
        <v>0.14020531064172004</v>
      </c>
      <c r="G77" s="340"/>
      <c r="I77" s="213"/>
      <c r="J77" s="244"/>
      <c r="K77" s="279"/>
      <c r="L77" s="244"/>
      <c r="M77" s="244"/>
      <c r="N77" s="244"/>
      <c r="O77" s="244"/>
      <c r="P77" s="244"/>
      <c r="Q77" s="279"/>
      <c r="R77" s="279"/>
      <c r="S77" s="244"/>
    </row>
    <row r="78" spans="2:19" ht="12.5">
      <c r="B78" s="244"/>
      <c r="D78" s="293"/>
      <c r="E78" s="244"/>
      <c r="F78" s="245"/>
      <c r="G78" s="245"/>
      <c r="H78" s="418"/>
      <c r="I78" s="213"/>
      <c r="J78" s="244"/>
      <c r="K78" s="279"/>
      <c r="L78" s="244"/>
      <c r="M78" s="244"/>
      <c r="N78" s="244"/>
      <c r="O78" s="244"/>
      <c r="P78" s="244"/>
      <c r="Q78" s="279"/>
      <c r="R78" s="279"/>
      <c r="S78" s="244"/>
    </row>
    <row r="79" spans="2:19" ht="12.5">
      <c r="B79" s="244"/>
      <c r="C79" s="249" t="str">
        <f>"   Net Rev. Req, w / "&amp;F13&amp;" Basis Point ROE increase, less Dep."</f>
        <v xml:space="preserve">   Net Rev. Req, w / 0 Basis Point ROE increase, less Dep.</v>
      </c>
      <c r="D79" s="293"/>
      <c r="E79" s="244"/>
      <c r="F79" s="327">
        <f>+F59</f>
        <v>91658394.304279014</v>
      </c>
      <c r="G79" s="327"/>
      <c r="I79" s="213"/>
      <c r="J79" s="244"/>
      <c r="K79" s="279"/>
      <c r="L79" s="244"/>
      <c r="M79" s="244"/>
      <c r="N79" s="244"/>
      <c r="O79" s="244"/>
      <c r="P79" s="244"/>
      <c r="Q79" s="279"/>
      <c r="R79" s="279"/>
      <c r="S79" s="244"/>
    </row>
    <row r="80" spans="2:19" ht="12.5">
      <c r="B80" s="244"/>
      <c r="C80" s="249" t="str">
        <f>"   FCR with "&amp;F13&amp;" Basis Point ROE increase, less Depreciation"</f>
        <v xml:space="preserve">   FCR with 0 Basis Point ROE increase, less Depreciation</v>
      </c>
      <c r="D80" s="293"/>
      <c r="E80" s="244"/>
      <c r="F80" s="340">
        <f>IF(F75=0,0,F79/F75)</f>
        <v>0.10812721300034886</v>
      </c>
      <c r="G80" s="340"/>
      <c r="H80" s="338"/>
      <c r="I80" s="213"/>
      <c r="J80" s="244"/>
      <c r="K80" s="279"/>
      <c r="L80" s="244"/>
      <c r="M80" s="244"/>
      <c r="N80" s="244"/>
      <c r="O80" s="244"/>
      <c r="P80" s="244"/>
      <c r="Q80" s="279"/>
      <c r="R80" s="279"/>
      <c r="S80" s="244"/>
    </row>
    <row r="81" spans="2:19" ht="12.5">
      <c r="B81" s="244"/>
      <c r="C81" s="312" t="str">
        <f>S124</f>
        <v xml:space="preserve">   FCR less Depreciation  (TCOS, ln 10)</v>
      </c>
      <c r="D81" s="293"/>
      <c r="E81" s="244"/>
      <c r="F81" s="341">
        <f>R124</f>
        <v>0.10800922592579221</v>
      </c>
      <c r="G81" s="341"/>
      <c r="H81" s="419"/>
      <c r="I81" s="213"/>
      <c r="J81" s="244"/>
      <c r="K81" s="279"/>
      <c r="L81" s="244"/>
      <c r="M81" s="244"/>
      <c r="N81" s="244"/>
      <c r="O81" s="244"/>
      <c r="P81" s="244"/>
      <c r="Q81" s="279"/>
      <c r="R81" s="279"/>
      <c r="S81" s="244"/>
    </row>
    <row r="82" spans="2:19" ht="12.5">
      <c r="B82" s="244"/>
      <c r="C82" s="249" t="str">
        <f>"   Incremental FCR with "&amp;F13&amp;" Basis Point ROE increase, less Depreciation"</f>
        <v xml:space="preserve">   Incremental FCR with 0 Basis Point ROE increase, less Depreciation</v>
      </c>
      <c r="D82" s="293"/>
      <c r="E82" s="244"/>
      <c r="F82" s="340">
        <f>F80-F81</f>
        <v>1.1798707455665247E-4</v>
      </c>
      <c r="G82" s="340"/>
      <c r="I82" s="213"/>
      <c r="J82" s="244"/>
      <c r="K82" s="279"/>
      <c r="L82" s="244"/>
      <c r="M82" s="244"/>
      <c r="N82" s="244"/>
      <c r="O82" s="244"/>
      <c r="P82" s="244"/>
      <c r="Q82" s="279"/>
      <c r="R82" s="279"/>
      <c r="S82" s="244"/>
    </row>
    <row r="83" spans="2:19" ht="12.5">
      <c r="B83" s="244"/>
      <c r="C83" s="249"/>
      <c r="D83" s="293"/>
      <c r="E83" s="244"/>
      <c r="F83" s="340"/>
      <c r="G83" s="340"/>
      <c r="H83" s="244"/>
      <c r="I83" s="326"/>
      <c r="J83" s="244"/>
      <c r="K83" s="279"/>
      <c r="L83" s="244"/>
      <c r="M83" s="244"/>
      <c r="N83" s="244"/>
      <c r="O83" s="244"/>
      <c r="P83" s="244"/>
      <c r="Q83" s="279"/>
      <c r="R83" s="279"/>
      <c r="S83" s="244"/>
    </row>
    <row r="84" spans="2:19" ht="18">
      <c r="B84" s="234" t="s">
        <v>35</v>
      </c>
      <c r="C84" s="306" t="s">
        <v>36</v>
      </c>
      <c r="D84" s="293"/>
      <c r="E84" s="244"/>
      <c r="F84" s="340"/>
      <c r="G84" s="340"/>
      <c r="H84" s="244"/>
      <c r="I84" s="326"/>
      <c r="J84" s="244"/>
      <c r="K84" s="279"/>
      <c r="L84" s="244"/>
      <c r="M84" s="244"/>
      <c r="N84" s="244"/>
      <c r="O84" s="244"/>
      <c r="P84" s="244"/>
      <c r="Q84" s="279"/>
      <c r="R84" s="279"/>
      <c r="S84" s="244"/>
    </row>
    <row r="85" spans="2:19" ht="12.75" customHeight="1">
      <c r="B85" s="234"/>
      <c r="C85" s="306"/>
      <c r="D85" s="293"/>
      <c r="E85" s="244"/>
      <c r="F85" s="340"/>
      <c r="G85" s="340"/>
      <c r="H85" s="244"/>
      <c r="I85" s="326"/>
      <c r="J85" s="244"/>
      <c r="K85" s="279"/>
      <c r="L85" s="244"/>
      <c r="M85" s="244"/>
      <c r="N85" s="244"/>
      <c r="O85" s="244"/>
      <c r="P85" s="244"/>
      <c r="Q85" s="279"/>
      <c r="R85" s="279"/>
      <c r="S85" s="244"/>
    </row>
    <row r="86" spans="2:19" ht="12.75" customHeight="1">
      <c r="B86" s="234"/>
      <c r="C86" s="249" t="s">
        <v>37</v>
      </c>
      <c r="D86" s="293"/>
      <c r="F86" s="420">
        <v>849082429</v>
      </c>
      <c r="G86" s="244" t="s">
        <v>241</v>
      </c>
      <c r="I86" s="649" t="s">
        <v>259</v>
      </c>
      <c r="J86" s="649"/>
      <c r="K86" s="649"/>
      <c r="L86" s="649"/>
      <c r="M86" s="649"/>
      <c r="N86" s="649"/>
      <c r="O86" s="244"/>
      <c r="P86" s="244"/>
      <c r="Q86" s="279"/>
      <c r="R86" s="279"/>
      <c r="S86" s="244"/>
    </row>
    <row r="87" spans="2:19" ht="12.75" customHeight="1">
      <c r="B87" s="234"/>
      <c r="C87" s="249" t="s">
        <v>38</v>
      </c>
      <c r="D87" s="293"/>
      <c r="F87" s="421">
        <v>958546907</v>
      </c>
      <c r="G87" s="244" t="s">
        <v>241</v>
      </c>
      <c r="I87" s="649"/>
      <c r="J87" s="649"/>
      <c r="K87" s="649"/>
      <c r="L87" s="649"/>
      <c r="M87" s="649"/>
      <c r="N87" s="649"/>
      <c r="O87" s="244"/>
      <c r="P87" s="244"/>
      <c r="Q87" s="279"/>
      <c r="R87" s="279"/>
      <c r="S87" s="244"/>
    </row>
    <row r="88" spans="2:19" ht="12.75" customHeight="1">
      <c r="B88" s="234"/>
      <c r="C88" s="249"/>
      <c r="D88" s="293"/>
      <c r="F88" s="333">
        <f>SUM(F86:F87)</f>
        <v>1807629336</v>
      </c>
      <c r="G88" s="326"/>
      <c r="H88" s="244"/>
      <c r="I88" s="649"/>
      <c r="J88" s="649"/>
      <c r="K88" s="649"/>
      <c r="L88" s="649"/>
      <c r="M88" s="649"/>
      <c r="N88" s="649"/>
      <c r="O88" s="244"/>
      <c r="P88" s="244"/>
      <c r="Q88" s="279"/>
      <c r="R88" s="279"/>
      <c r="S88" s="244"/>
    </row>
    <row r="89" spans="2:19" ht="12.5">
      <c r="B89" s="244"/>
      <c r="C89" s="249" t="str">
        <f>+S125</f>
        <v>Transmission Plant @ Beginning of Period (P.206, ln 58)</v>
      </c>
      <c r="D89" s="334"/>
      <c r="E89" s="152"/>
      <c r="F89" s="343">
        <f>+F88/2</f>
        <v>903814668</v>
      </c>
      <c r="G89" s="324"/>
      <c r="I89" s="649"/>
      <c r="J89" s="649"/>
      <c r="K89" s="649"/>
      <c r="L89" s="649"/>
      <c r="M89" s="649"/>
      <c r="N89" s="649"/>
      <c r="O89" s="244"/>
      <c r="P89" s="244"/>
      <c r="Q89" s="279"/>
      <c r="R89" s="279"/>
      <c r="S89" s="244"/>
    </row>
    <row r="90" spans="2:19" ht="12.5">
      <c r="B90" s="244"/>
      <c r="C90" s="237" t="str">
        <f>S128</f>
        <v>Annual Depreciation Expense  (TCOS, ln 86)</v>
      </c>
      <c r="D90" s="334"/>
      <c r="E90" s="245"/>
      <c r="F90" s="343">
        <f>R128</f>
        <v>27192293.600820702</v>
      </c>
      <c r="G90" s="324"/>
      <c r="I90" s="649"/>
      <c r="J90" s="649"/>
      <c r="K90" s="649"/>
      <c r="L90" s="649"/>
      <c r="M90" s="649"/>
      <c r="N90" s="649"/>
      <c r="O90" s="244"/>
      <c r="P90" s="244"/>
      <c r="Q90" s="279"/>
      <c r="R90" s="279"/>
      <c r="S90" s="244"/>
    </row>
    <row r="91" spans="2:19" ht="12.5">
      <c r="B91" s="244"/>
      <c r="C91" s="249" t="s">
        <v>39</v>
      </c>
      <c r="D91" s="293"/>
      <c r="E91" s="244"/>
      <c r="F91" s="345">
        <f>F90/F89</f>
        <v>3.0086138855206876E-2</v>
      </c>
      <c r="G91" s="340"/>
      <c r="H91" s="244"/>
      <c r="I91" s="649"/>
      <c r="J91" s="649"/>
      <c r="K91" s="649"/>
      <c r="L91" s="649"/>
      <c r="M91" s="649"/>
      <c r="N91" s="649"/>
      <c r="O91" s="244"/>
      <c r="P91" s="244"/>
      <c r="Q91" s="279"/>
      <c r="R91" s="279"/>
      <c r="S91" s="244"/>
    </row>
    <row r="92" spans="2:19" ht="12.5">
      <c r="B92" s="244"/>
      <c r="C92" s="249" t="s">
        <v>40</v>
      </c>
      <c r="D92" s="293"/>
      <c r="E92" s="244"/>
      <c r="F92" s="347">
        <f>IF(F91=0,0,1/F91)</f>
        <v>33.237897518608783</v>
      </c>
      <c r="G92" s="347"/>
      <c r="H92" s="244"/>
      <c r="I92" s="326"/>
      <c r="J92" s="244"/>
      <c r="K92" s="279"/>
      <c r="L92" s="244"/>
      <c r="M92" s="244"/>
      <c r="N92" s="244"/>
      <c r="O92" s="244"/>
      <c r="P92" s="244"/>
      <c r="Q92" s="279"/>
      <c r="R92" s="279"/>
      <c r="S92" s="244"/>
    </row>
    <row r="93" spans="2:19" ht="12.5">
      <c r="B93" s="244"/>
      <c r="C93" s="249" t="s">
        <v>41</v>
      </c>
      <c r="D93" s="293"/>
      <c r="E93" s="244"/>
      <c r="F93" s="348">
        <f>ROUND(F92,0)</f>
        <v>33</v>
      </c>
      <c r="G93" s="348"/>
      <c r="H93" s="244"/>
      <c r="I93" s="326"/>
      <c r="J93" s="244"/>
      <c r="K93" s="279"/>
      <c r="L93" s="244"/>
      <c r="M93" s="244"/>
      <c r="N93" s="244"/>
      <c r="O93" s="244"/>
      <c r="P93" s="244"/>
      <c r="Q93" s="279"/>
      <c r="R93" s="279"/>
      <c r="S93" s="244"/>
    </row>
    <row r="94" spans="2:19" ht="12.5">
      <c r="B94" s="244"/>
      <c r="C94" s="249"/>
      <c r="D94" s="293"/>
      <c r="E94" s="244"/>
      <c r="F94" s="348"/>
      <c r="G94" s="348"/>
      <c r="H94" s="244"/>
      <c r="I94" s="326"/>
      <c r="J94" s="244"/>
      <c r="K94" s="279"/>
      <c r="L94" s="244"/>
      <c r="M94" s="244"/>
      <c r="N94" s="244"/>
      <c r="O94" s="244"/>
      <c r="P94" s="244"/>
      <c r="Q94" s="279"/>
      <c r="R94" s="279"/>
      <c r="S94" s="244"/>
    </row>
    <row r="95" spans="2:19" ht="12.5">
      <c r="B95" s="244"/>
      <c r="C95" s="249"/>
      <c r="D95" s="293"/>
      <c r="E95" s="244"/>
      <c r="F95" s="348"/>
      <c r="G95" s="348"/>
      <c r="H95" s="244"/>
      <c r="I95" s="326"/>
      <c r="J95" s="244"/>
      <c r="K95" s="279"/>
      <c r="L95" s="244"/>
      <c r="M95" s="244"/>
      <c r="N95" s="244"/>
      <c r="O95" s="244"/>
      <c r="P95" s="244"/>
      <c r="Q95" s="279"/>
      <c r="R95" s="279"/>
      <c r="S95" s="244"/>
    </row>
    <row r="96" spans="2:19" ht="12.5">
      <c r="B96" s="244"/>
      <c r="C96" s="249"/>
      <c r="D96" s="293"/>
      <c r="E96" s="244"/>
      <c r="F96" s="348"/>
      <c r="G96" s="348"/>
      <c r="H96" s="244"/>
      <c r="I96" s="326"/>
      <c r="J96" s="244"/>
      <c r="K96" s="279"/>
      <c r="L96" s="244"/>
      <c r="M96" s="244"/>
      <c r="N96" s="244"/>
      <c r="O96" s="244"/>
      <c r="P96" s="244"/>
      <c r="Q96" s="279"/>
      <c r="R96" s="279"/>
      <c r="S96" s="244"/>
    </row>
    <row r="97" spans="3:19" ht="13">
      <c r="C97" s="244"/>
      <c r="D97" s="293"/>
      <c r="E97" s="244"/>
      <c r="F97" s="244"/>
      <c r="G97" s="244"/>
      <c r="H97" s="244"/>
      <c r="I97" s="326"/>
      <c r="J97" s="244"/>
      <c r="K97" s="279"/>
      <c r="L97" s="244"/>
      <c r="M97" s="244"/>
      <c r="N97" s="244"/>
      <c r="O97" s="244"/>
      <c r="P97" s="244"/>
      <c r="Q97" s="279"/>
      <c r="R97" s="352" t="s">
        <v>111</v>
      </c>
      <c r="S97" s="353" t="s">
        <v>117</v>
      </c>
    </row>
    <row r="98" spans="3:19" ht="12.5">
      <c r="C98" s="244"/>
      <c r="D98" s="293"/>
      <c r="E98" s="244"/>
      <c r="F98" s="244"/>
      <c r="G98" s="244"/>
      <c r="H98" s="244"/>
      <c r="I98" s="326"/>
      <c r="J98" s="244"/>
      <c r="K98" s="279"/>
      <c r="L98" s="244"/>
      <c r="M98" s="244"/>
      <c r="N98" s="244"/>
      <c r="O98" s="244"/>
      <c r="P98" s="244"/>
      <c r="Q98" s="279"/>
    </row>
    <row r="99" spans="3:19" ht="13">
      <c r="C99" s="233" t="s">
        <v>108</v>
      </c>
      <c r="J99" s="221"/>
      <c r="L99" s="233" t="s">
        <v>107</v>
      </c>
      <c r="N99" s="244"/>
      <c r="O99" s="244"/>
      <c r="P99" s="244"/>
      <c r="Q99" s="279"/>
    </row>
    <row r="100" spans="3:19" ht="12.5">
      <c r="C100" s="244"/>
      <c r="D100" s="293"/>
      <c r="E100" s="244"/>
      <c r="F100" s="244"/>
      <c r="G100" s="244"/>
      <c r="H100" s="244"/>
      <c r="I100" s="326"/>
      <c r="J100" s="244"/>
      <c r="K100" s="279"/>
      <c r="L100" s="244"/>
      <c r="M100" s="244"/>
      <c r="N100" s="244"/>
      <c r="O100" s="244"/>
      <c r="P100" s="244"/>
      <c r="Q100" s="279"/>
      <c r="S100" s="353" t="s">
        <v>105</v>
      </c>
    </row>
    <row r="101" spans="3:19" ht="13">
      <c r="C101" s="244"/>
      <c r="D101" s="293"/>
      <c r="E101" s="244"/>
      <c r="F101" s="244"/>
      <c r="G101" s="244"/>
      <c r="H101" s="244"/>
      <c r="I101" s="326"/>
      <c r="J101" s="244"/>
      <c r="K101" s="279"/>
      <c r="L101" s="244"/>
      <c r="M101" s="244"/>
      <c r="N101" s="244"/>
      <c r="O101" s="244"/>
      <c r="P101" s="244"/>
      <c r="Q101" s="279"/>
      <c r="R101" s="352" t="s">
        <v>102</v>
      </c>
      <c r="S101" s="201" t="s">
        <v>119</v>
      </c>
    </row>
    <row r="102" spans="3:19" ht="13.5" thickBot="1">
      <c r="C102" s="244"/>
      <c r="D102" s="293"/>
      <c r="E102" s="244"/>
      <c r="F102" s="244"/>
      <c r="G102" s="244"/>
      <c r="H102" s="244"/>
      <c r="I102" s="326"/>
      <c r="J102" s="244"/>
      <c r="K102" s="279"/>
      <c r="L102" s="244"/>
      <c r="M102" s="244"/>
      <c r="N102" s="244"/>
      <c r="O102" s="244"/>
      <c r="Q102" s="279"/>
      <c r="R102" s="354" t="s">
        <v>186</v>
      </c>
    </row>
    <row r="103" spans="3:19" ht="12.5">
      <c r="C103" s="244"/>
      <c r="D103" s="293"/>
      <c r="E103" s="244"/>
      <c r="F103" s="244"/>
      <c r="G103" s="244"/>
      <c r="H103" s="244"/>
      <c r="I103" s="326"/>
      <c r="J103" s="244"/>
      <c r="K103" s="279"/>
      <c r="L103" s="244"/>
      <c r="M103" s="244"/>
      <c r="N103" s="244"/>
      <c r="O103" s="244"/>
      <c r="Q103" s="279"/>
      <c r="R103" s="422" t="s">
        <v>178</v>
      </c>
      <c r="S103" s="423" t="s">
        <v>127</v>
      </c>
    </row>
    <row r="104" spans="3:19" ht="12.5">
      <c r="C104" s="244"/>
      <c r="D104" s="293"/>
      <c r="E104" s="244"/>
      <c r="F104" s="244"/>
      <c r="G104" s="244"/>
      <c r="H104" s="244"/>
      <c r="I104" s="326"/>
      <c r="J104" s="244"/>
      <c r="K104" s="279"/>
      <c r="L104" s="244"/>
      <c r="M104" s="244"/>
      <c r="N104" s="244"/>
      <c r="O104" s="244"/>
      <c r="Q104" s="279"/>
      <c r="R104" s="357">
        <v>2019</v>
      </c>
      <c r="S104" s="424" t="s">
        <v>84</v>
      </c>
    </row>
    <row r="105" spans="3:19" ht="12.5">
      <c r="C105" s="244"/>
      <c r="D105" s="293"/>
      <c r="E105" s="244"/>
      <c r="F105" s="244"/>
      <c r="G105" s="244"/>
      <c r="H105" s="244"/>
      <c r="I105" s="326"/>
      <c r="J105" s="244"/>
      <c r="K105" s="279"/>
      <c r="L105" s="244"/>
      <c r="M105" s="244"/>
      <c r="N105" s="244"/>
      <c r="O105" s="244"/>
      <c r="Q105" s="279"/>
      <c r="R105" s="425">
        <v>0.105</v>
      </c>
      <c r="S105" s="424" t="s">
        <v>271</v>
      </c>
    </row>
    <row r="106" spans="3:19" ht="12.5">
      <c r="C106" s="244"/>
      <c r="D106" s="293"/>
      <c r="E106" s="244"/>
      <c r="F106" s="244"/>
      <c r="G106" s="244"/>
      <c r="H106" s="244"/>
      <c r="I106" s="326"/>
      <c r="J106" s="244"/>
      <c r="K106" s="279"/>
      <c r="L106" s="244"/>
      <c r="M106" s="244"/>
      <c r="N106" s="244"/>
      <c r="O106" s="244"/>
      <c r="Q106" s="279"/>
      <c r="R106" s="426">
        <v>0</v>
      </c>
      <c r="S106" s="424" t="s">
        <v>1</v>
      </c>
    </row>
    <row r="107" spans="3:19" ht="12.5">
      <c r="C107" s="244"/>
      <c r="D107" s="293"/>
      <c r="E107" s="244"/>
      <c r="F107" s="244"/>
      <c r="G107" s="244"/>
      <c r="H107" s="244"/>
      <c r="I107" s="326"/>
      <c r="J107" s="244"/>
      <c r="K107" s="279"/>
      <c r="L107" s="244"/>
      <c r="M107" s="244"/>
      <c r="N107" s="244"/>
      <c r="O107" s="244"/>
      <c r="Q107" s="279"/>
      <c r="R107" s="425">
        <v>0.44194655758972329</v>
      </c>
      <c r="S107" s="427" t="s">
        <v>97</v>
      </c>
    </row>
    <row r="108" spans="3:19" ht="12.5">
      <c r="C108" s="244"/>
      <c r="D108" s="293"/>
      <c r="E108" s="244"/>
      <c r="F108" s="244"/>
      <c r="G108" s="244"/>
      <c r="H108" s="244"/>
      <c r="I108" s="326"/>
      <c r="J108" s="244"/>
      <c r="K108" s="279"/>
      <c r="L108" s="244"/>
      <c r="M108" s="244"/>
      <c r="N108" s="244"/>
      <c r="O108" s="244"/>
      <c r="Q108" s="279"/>
      <c r="R108" s="428">
        <v>4.114257704572407E-2</v>
      </c>
      <c r="S108" s="427" t="s">
        <v>98</v>
      </c>
    </row>
    <row r="109" spans="3:19" ht="12.5">
      <c r="C109" s="244"/>
      <c r="D109" s="293"/>
      <c r="E109" s="244"/>
      <c r="F109" s="244"/>
      <c r="G109" s="244"/>
      <c r="H109" s="244"/>
      <c r="I109" s="326"/>
      <c r="J109" s="244"/>
      <c r="K109" s="279"/>
      <c r="L109" s="244"/>
      <c r="M109" s="244"/>
      <c r="N109" s="244"/>
      <c r="O109" s="244"/>
      <c r="Q109" s="279"/>
      <c r="R109" s="425">
        <v>0</v>
      </c>
      <c r="S109" s="427" t="s">
        <v>99</v>
      </c>
    </row>
    <row r="110" spans="3:19" ht="12.5">
      <c r="C110" s="244"/>
      <c r="D110" s="293"/>
      <c r="E110" s="244"/>
      <c r="F110" s="244"/>
      <c r="G110" s="244"/>
      <c r="H110" s="244"/>
      <c r="I110" s="326"/>
      <c r="J110" s="244"/>
      <c r="K110" s="279"/>
      <c r="L110" s="244"/>
      <c r="M110" s="244"/>
      <c r="N110" s="244"/>
      <c r="O110" s="244"/>
      <c r="Q110" s="279"/>
      <c r="R110" s="428">
        <v>0</v>
      </c>
      <c r="S110" s="427" t="s">
        <v>100</v>
      </c>
    </row>
    <row r="111" spans="3:19" ht="12.5">
      <c r="C111" s="244"/>
      <c r="D111" s="293"/>
      <c r="E111" s="244"/>
      <c r="F111" s="244"/>
      <c r="G111" s="244"/>
      <c r="H111" s="244"/>
      <c r="I111" s="326"/>
      <c r="J111" s="244"/>
      <c r="K111" s="279"/>
      <c r="L111" s="244"/>
      <c r="M111" s="244"/>
      <c r="N111" s="244"/>
      <c r="O111" s="244"/>
      <c r="Q111" s="279"/>
      <c r="R111" s="425">
        <v>0.55805344241027677</v>
      </c>
      <c r="S111" s="429" t="s">
        <v>101</v>
      </c>
    </row>
    <row r="112" spans="3:19" ht="12.5">
      <c r="C112" s="244"/>
      <c r="D112" s="293"/>
      <c r="E112" s="244"/>
      <c r="F112" s="244"/>
      <c r="G112" s="244"/>
      <c r="H112" s="244"/>
      <c r="I112" s="326"/>
      <c r="J112" s="244"/>
      <c r="K112" s="279"/>
      <c r="L112" s="244"/>
      <c r="M112" s="244"/>
      <c r="N112" s="244"/>
      <c r="O112" s="244"/>
      <c r="Q112" s="279"/>
      <c r="R112" s="430">
        <v>695216659.71242821</v>
      </c>
      <c r="S112" s="431" t="s">
        <v>272</v>
      </c>
    </row>
    <row r="113" spans="3:19" ht="12.5">
      <c r="C113" s="244"/>
      <c r="D113" s="293"/>
      <c r="E113" s="244"/>
      <c r="F113" s="244"/>
      <c r="G113" s="244"/>
      <c r="H113" s="244"/>
      <c r="I113" s="326"/>
      <c r="J113" s="244"/>
      <c r="K113" s="279"/>
      <c r="L113" s="244"/>
      <c r="M113" s="244"/>
      <c r="N113" s="244"/>
      <c r="O113" s="244"/>
      <c r="Q113" s="279"/>
      <c r="R113" s="366">
        <v>0.254714</v>
      </c>
      <c r="S113" s="424" t="s">
        <v>273</v>
      </c>
    </row>
    <row r="114" spans="3:19" ht="12.5">
      <c r="C114" s="244"/>
      <c r="D114" s="293"/>
      <c r="E114" s="244"/>
      <c r="F114" s="244"/>
      <c r="G114" s="244"/>
      <c r="H114" s="244"/>
      <c r="I114" s="326"/>
      <c r="J114" s="244"/>
      <c r="K114" s="279"/>
      <c r="L114" s="244"/>
      <c r="M114" s="244"/>
      <c r="N114" s="244"/>
      <c r="O114" s="244"/>
      <c r="Q114" s="279"/>
      <c r="R114" s="430">
        <v>0</v>
      </c>
      <c r="S114" s="424" t="s">
        <v>274</v>
      </c>
    </row>
    <row r="115" spans="3:19" ht="12.5">
      <c r="C115" s="244"/>
      <c r="D115" s="293"/>
      <c r="E115" s="244"/>
      <c r="F115" s="244"/>
      <c r="G115" s="244"/>
      <c r="H115" s="244"/>
      <c r="I115" s="326"/>
      <c r="J115" s="244"/>
      <c r="K115" s="279"/>
      <c r="L115" s="244"/>
      <c r="M115" s="244"/>
      <c r="N115" s="244"/>
      <c r="O115" s="244"/>
      <c r="Q115" s="279"/>
      <c r="R115" s="430">
        <v>726117.49046674673</v>
      </c>
      <c r="S115" s="424" t="s">
        <v>275</v>
      </c>
    </row>
    <row r="116" spans="3:19" ht="12.5">
      <c r="C116" s="244"/>
      <c r="D116" s="293"/>
      <c r="E116" s="244"/>
      <c r="F116" s="244"/>
      <c r="G116" s="244"/>
      <c r="H116" s="244"/>
      <c r="I116" s="326"/>
      <c r="J116" s="244"/>
      <c r="K116" s="279"/>
      <c r="L116" s="244"/>
      <c r="M116" s="244"/>
      <c r="N116" s="244"/>
      <c r="O116" s="244"/>
      <c r="Q116" s="279"/>
      <c r="R116" s="430">
        <v>282675.5098042899</v>
      </c>
      <c r="S116" s="424" t="s">
        <v>276</v>
      </c>
    </row>
    <row r="117" spans="3:19" ht="12.5">
      <c r="C117" s="244"/>
      <c r="D117" s="293"/>
      <c r="E117" s="244"/>
      <c r="F117" s="244"/>
      <c r="G117" s="244"/>
      <c r="H117" s="244"/>
      <c r="I117" s="326"/>
      <c r="J117" s="244"/>
      <c r="K117" s="279"/>
      <c r="L117" s="244"/>
      <c r="M117" s="244"/>
      <c r="N117" s="244"/>
      <c r="O117" s="244"/>
      <c r="Q117" s="279"/>
      <c r="R117" s="430">
        <v>118750671.40136826</v>
      </c>
      <c r="S117" s="424" t="s">
        <v>277</v>
      </c>
    </row>
    <row r="118" spans="3:19" ht="12.5">
      <c r="C118" s="244"/>
      <c r="D118" s="293"/>
      <c r="E118" s="244"/>
      <c r="F118" s="244"/>
      <c r="G118" s="244"/>
      <c r="H118" s="244"/>
      <c r="I118" s="326"/>
      <c r="J118" s="244"/>
      <c r="K118" s="279"/>
      <c r="L118" s="244"/>
      <c r="M118" s="244"/>
      <c r="N118" s="244"/>
      <c r="O118" s="244"/>
      <c r="Q118" s="279"/>
      <c r="R118" s="430">
        <v>53377644.85836409</v>
      </c>
      <c r="S118" s="424" t="s">
        <v>278</v>
      </c>
    </row>
    <row r="119" spans="3:19" ht="12.5">
      <c r="C119" s="244"/>
      <c r="D119" s="293"/>
      <c r="E119" s="244"/>
      <c r="F119" s="244"/>
      <c r="G119" s="244"/>
      <c r="H119" s="244"/>
      <c r="I119" s="326"/>
      <c r="J119" s="244"/>
      <c r="K119" s="279"/>
      <c r="L119" s="244"/>
      <c r="M119" s="244"/>
      <c r="N119" s="244"/>
      <c r="O119" s="244"/>
      <c r="Q119" s="279"/>
      <c r="R119" s="430">
        <v>14931225.278414734</v>
      </c>
      <c r="S119" s="424" t="s">
        <v>279</v>
      </c>
    </row>
    <row r="120" spans="3:19" ht="12.5">
      <c r="C120" s="244"/>
      <c r="D120" s="293"/>
      <c r="E120" s="244"/>
      <c r="F120" s="244"/>
      <c r="G120" s="244"/>
      <c r="H120" s="244"/>
      <c r="I120" s="326"/>
      <c r="J120" s="244"/>
      <c r="K120" s="279"/>
      <c r="L120" s="244"/>
      <c r="M120" s="244"/>
      <c r="N120" s="244"/>
      <c r="O120" s="244"/>
      <c r="Q120" s="279"/>
      <c r="R120" s="430">
        <v>0</v>
      </c>
      <c r="S120" s="424" t="s">
        <v>280</v>
      </c>
    </row>
    <row r="121" spans="3:19" ht="12.5">
      <c r="C121" s="244"/>
      <c r="D121" s="293"/>
      <c r="E121" s="244"/>
      <c r="F121" s="244"/>
      <c r="G121" s="244"/>
      <c r="H121" s="244"/>
      <c r="I121" s="326"/>
      <c r="J121" s="244"/>
      <c r="K121" s="279"/>
      <c r="L121" s="244"/>
      <c r="M121" s="244"/>
      <c r="N121" s="244"/>
      <c r="O121" s="244"/>
      <c r="Q121" s="279"/>
      <c r="R121" s="430">
        <v>27192293.600820702</v>
      </c>
      <c r="S121" s="424" t="s">
        <v>281</v>
      </c>
    </row>
    <row r="122" spans="3:19" ht="12.5">
      <c r="C122" s="244"/>
      <c r="D122" s="293"/>
      <c r="E122" s="244"/>
      <c r="F122" s="244"/>
      <c r="G122" s="244"/>
      <c r="H122" s="244"/>
      <c r="I122" s="326"/>
      <c r="J122" s="244"/>
      <c r="K122" s="279"/>
      <c r="L122" s="244"/>
      <c r="M122" s="244"/>
      <c r="N122" s="244"/>
      <c r="O122" s="244"/>
      <c r="Q122" s="279"/>
      <c r="R122" s="366">
        <v>0</v>
      </c>
      <c r="S122" s="424" t="s">
        <v>104</v>
      </c>
    </row>
    <row r="123" spans="3:19" ht="12.5">
      <c r="C123" s="244"/>
      <c r="D123" s="293"/>
      <c r="E123" s="244"/>
      <c r="F123" s="244"/>
      <c r="G123" s="244"/>
      <c r="H123" s="244"/>
      <c r="I123" s="326"/>
      <c r="J123" s="244"/>
      <c r="K123" s="279"/>
      <c r="L123" s="244"/>
      <c r="M123" s="244"/>
      <c r="N123" s="244"/>
      <c r="O123" s="244"/>
      <c r="Q123" s="279"/>
      <c r="R123" s="430">
        <v>847690343.26246154</v>
      </c>
      <c r="S123" s="424" t="s">
        <v>282</v>
      </c>
    </row>
    <row r="124" spans="3:19" ht="12.5">
      <c r="C124" s="244"/>
      <c r="D124" s="293"/>
      <c r="E124" s="244"/>
      <c r="F124" s="244"/>
      <c r="G124" s="244"/>
      <c r="H124" s="244"/>
      <c r="I124" s="326"/>
      <c r="J124" s="244"/>
      <c r="K124" s="279"/>
      <c r="L124" s="244"/>
      <c r="M124" s="244"/>
      <c r="N124" s="244"/>
      <c r="O124" s="244"/>
      <c r="Q124" s="279"/>
      <c r="R124" s="366">
        <v>0.10800922592579221</v>
      </c>
      <c r="S124" s="432" t="s">
        <v>283</v>
      </c>
    </row>
    <row r="125" spans="3:19" ht="12.5">
      <c r="C125" s="244"/>
      <c r="D125" s="293"/>
      <c r="E125" s="244"/>
      <c r="F125" s="244"/>
      <c r="G125" s="244"/>
      <c r="H125" s="244"/>
      <c r="I125" s="326"/>
      <c r="J125" s="244"/>
      <c r="K125" s="279"/>
      <c r="L125" s="244"/>
      <c r="M125" s="244"/>
      <c r="N125" s="244"/>
      <c r="O125" s="244"/>
      <c r="Q125" s="279"/>
      <c r="R125" s="433">
        <v>958546907</v>
      </c>
      <c r="S125" s="249" t="s">
        <v>37</v>
      </c>
    </row>
    <row r="126" spans="3:19" ht="12.5">
      <c r="C126" s="244"/>
      <c r="D126" s="293"/>
      <c r="E126" s="244"/>
      <c r="F126" s="244"/>
      <c r="G126" s="244"/>
      <c r="H126" s="244"/>
      <c r="I126" s="326"/>
      <c r="J126" s="244"/>
      <c r="K126" s="279"/>
      <c r="L126" s="244"/>
      <c r="M126" s="244"/>
      <c r="N126" s="244"/>
      <c r="O126" s="244"/>
      <c r="Q126" s="279"/>
      <c r="R126" s="433">
        <v>1056374505</v>
      </c>
      <c r="S126" s="249" t="s">
        <v>38</v>
      </c>
    </row>
    <row r="127" spans="3:19" ht="12.5">
      <c r="C127" s="244"/>
      <c r="D127" s="293"/>
      <c r="E127" s="244"/>
      <c r="F127" s="244"/>
      <c r="G127" s="244"/>
      <c r="H127" s="244"/>
      <c r="I127" s="326"/>
      <c r="J127" s="244"/>
      <c r="K127" s="279"/>
      <c r="L127" s="244"/>
      <c r="M127" s="244"/>
      <c r="N127" s="244"/>
      <c r="O127" s="244"/>
      <c r="Q127" s="279"/>
      <c r="R127" s="433">
        <v>997294681.76923072</v>
      </c>
      <c r="S127" s="373" t="s">
        <v>285</v>
      </c>
    </row>
    <row r="128" spans="3:19" ht="13" thickBot="1">
      <c r="C128" s="244"/>
      <c r="D128" s="293"/>
      <c r="E128" s="244"/>
      <c r="F128" s="244"/>
      <c r="G128" s="244"/>
      <c r="H128" s="244"/>
      <c r="I128" s="326"/>
      <c r="J128" s="244"/>
      <c r="K128" s="279"/>
      <c r="L128" s="244"/>
      <c r="M128" s="244"/>
      <c r="N128" s="244"/>
      <c r="O128" s="244"/>
      <c r="Q128" s="279"/>
      <c r="R128" s="434">
        <v>27192293.600820702</v>
      </c>
      <c r="S128" s="435" t="s">
        <v>284</v>
      </c>
    </row>
    <row r="129" spans="3:19" ht="12.5">
      <c r="C129" s="244"/>
      <c r="D129" s="293"/>
      <c r="E129" s="244"/>
      <c r="F129" s="244"/>
      <c r="G129" s="244"/>
      <c r="H129" s="244"/>
      <c r="I129" s="326"/>
      <c r="J129" s="244"/>
      <c r="K129" s="279"/>
      <c r="L129" s="244"/>
      <c r="M129" s="244"/>
      <c r="N129" s="244"/>
      <c r="O129" s="244"/>
      <c r="Q129" s="279"/>
      <c r="R129" s="244"/>
      <c r="S129" s="244"/>
    </row>
    <row r="130" spans="3:19" ht="13">
      <c r="C130" s="244"/>
      <c r="D130" s="293"/>
      <c r="E130" s="244"/>
      <c r="F130" s="244"/>
      <c r="G130" s="244"/>
      <c r="H130" s="244"/>
      <c r="I130" s="326"/>
      <c r="J130" s="244"/>
      <c r="K130" s="279"/>
      <c r="L130" s="244"/>
      <c r="M130" s="244"/>
      <c r="N130" s="244"/>
      <c r="O130" s="244"/>
      <c r="Q130" s="279"/>
      <c r="R130" s="352" t="s">
        <v>103</v>
      </c>
      <c r="S130" s="244" t="s">
        <v>115</v>
      </c>
    </row>
    <row r="131" spans="3:19" ht="13.5" thickBot="1">
      <c r="C131" s="244"/>
      <c r="D131" s="293"/>
      <c r="E131" s="244"/>
      <c r="F131" s="244"/>
      <c r="G131" s="244"/>
      <c r="H131" s="244"/>
      <c r="I131" s="326"/>
      <c r="J131" s="244"/>
      <c r="K131" s="279"/>
      <c r="L131" s="244"/>
      <c r="M131" s="244"/>
      <c r="N131" s="244"/>
      <c r="O131" s="244"/>
      <c r="Q131" s="279"/>
      <c r="R131" s="354" t="s">
        <v>187</v>
      </c>
      <c r="S131" s="244"/>
    </row>
    <row r="132" spans="3:19" ht="12.5">
      <c r="C132" s="244"/>
      <c r="D132" s="293"/>
      <c r="E132" s="244"/>
      <c r="F132" s="244"/>
      <c r="G132" s="244"/>
      <c r="H132" s="244"/>
      <c r="I132" s="326"/>
      <c r="J132" s="244"/>
      <c r="K132" s="279"/>
      <c r="L132" s="244"/>
      <c r="M132" s="244"/>
      <c r="N132" s="244"/>
      <c r="O132" s="244"/>
      <c r="Q132" s="279"/>
      <c r="R132" s="378">
        <f>+N17</f>
        <v>36715956.554148674</v>
      </c>
      <c r="S132" s="145" t="s">
        <v>120</v>
      </c>
    </row>
    <row r="133" spans="3:19" ht="12.5">
      <c r="C133" s="244"/>
      <c r="D133" s="293"/>
      <c r="E133" s="244"/>
      <c r="F133" s="244"/>
      <c r="G133" s="244"/>
      <c r="H133" s="244"/>
      <c r="I133" s="326"/>
      <c r="J133" s="244"/>
      <c r="K133" s="279"/>
      <c r="L133" s="244"/>
      <c r="M133" s="244"/>
      <c r="N133" s="244"/>
      <c r="O133" s="244"/>
      <c r="Q133" s="279"/>
      <c r="R133" s="379">
        <f>+O17</f>
        <v>36715956.554148674</v>
      </c>
      <c r="S133" s="145" t="s">
        <v>121</v>
      </c>
    </row>
    <row r="134" spans="3:19" ht="12.5">
      <c r="C134" s="244"/>
      <c r="D134" s="293"/>
      <c r="E134" s="244"/>
      <c r="F134" s="244"/>
      <c r="G134" s="244"/>
      <c r="H134" s="244"/>
      <c r="I134" s="326"/>
      <c r="J134" s="244"/>
      <c r="K134" s="279"/>
      <c r="L134" s="244"/>
      <c r="M134" s="244"/>
      <c r="N134" s="244"/>
      <c r="O134" s="244"/>
      <c r="Q134" s="279"/>
      <c r="R134" s="436">
        <f>+N18</f>
        <v>39138830.897015929</v>
      </c>
      <c r="S134" s="145" t="s">
        <v>122</v>
      </c>
    </row>
    <row r="135" spans="3:19" ht="13" thickBot="1">
      <c r="C135" s="244"/>
      <c r="D135" s="293"/>
      <c r="E135" s="244"/>
      <c r="F135" s="244"/>
      <c r="G135" s="244"/>
      <c r="H135" s="244"/>
      <c r="I135" s="326"/>
      <c r="J135" s="244"/>
      <c r="K135" s="279"/>
      <c r="L135" s="244"/>
      <c r="M135" s="244"/>
      <c r="N135" s="244"/>
      <c r="O135" s="244"/>
      <c r="Q135" s="279"/>
      <c r="R135" s="437">
        <f>+O18</f>
        <v>39138830.897015929</v>
      </c>
      <c r="S135" s="145" t="s">
        <v>123</v>
      </c>
    </row>
    <row r="136" spans="3:19" ht="12.5">
      <c r="C136" s="244"/>
      <c r="D136" s="293"/>
      <c r="E136" s="244"/>
      <c r="F136" s="244"/>
      <c r="G136" s="244"/>
      <c r="H136" s="244"/>
      <c r="I136" s="326"/>
      <c r="J136" s="244"/>
      <c r="K136" s="279"/>
      <c r="L136" s="244"/>
      <c r="M136" s="244"/>
      <c r="N136" s="244"/>
      <c r="O136" s="244"/>
      <c r="Q136" s="279"/>
      <c r="R136" s="244"/>
      <c r="S136" s="244"/>
    </row>
    <row r="137" spans="3:19" ht="13">
      <c r="C137" s="244"/>
      <c r="D137" s="293"/>
      <c r="E137" s="244"/>
      <c r="F137" s="244"/>
      <c r="G137" s="244"/>
      <c r="H137" s="244"/>
      <c r="I137" s="326"/>
      <c r="J137" s="244"/>
      <c r="K137" s="279"/>
      <c r="L137" s="244"/>
      <c r="M137" s="244"/>
      <c r="N137" s="244"/>
      <c r="O137" s="244"/>
      <c r="Q137" s="279"/>
      <c r="R137" s="352" t="s">
        <v>113</v>
      </c>
      <c r="S137" s="353" t="s">
        <v>118</v>
      </c>
    </row>
  </sheetData>
  <mergeCells count="7">
    <mergeCell ref="I86:N91"/>
    <mergeCell ref="C8:I8"/>
    <mergeCell ref="A1:K1"/>
    <mergeCell ref="A2:K2"/>
    <mergeCell ref="A3:K3"/>
    <mergeCell ref="A4:K4"/>
    <mergeCell ref="A5:K5"/>
  </mergeCells>
  <phoneticPr fontId="0" type="noConversion"/>
  <printOptions horizontalCentered="1"/>
  <pageMargins left="0.25" right="0.25" top="0.75" bottom="0.25" header="0.25" footer="0.5"/>
  <pageSetup scale="41" fitToHeight="5" orientation="landscape" horizontalDpi="1200" verticalDpi="1200" r:id="rId1"/>
  <headerFooter alignWithMargins="0">
    <oddHeader xml:space="preserve">&amp;R&amp;16AEPTCo - SPP Formula Rate
&amp;A TCOS - WS G
Page: &amp;P of &amp;N
</oddHeader>
    <oddFooter xml:space="preserve">&amp;C &amp;R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U163"/>
  <sheetViews>
    <sheetView view="pageBreakPreview" topLeftCell="F61" zoomScale="90" zoomScaleNormal="100" zoomScaleSheetLayoutView="90" workbookViewId="0">
      <selection activeCell="D10" sqref="D10"/>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179687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"&amp;RIGHT(MID(CELL("filename",$A$1),FIND("]",CELL("filename",$A$1))+1,256),1)&amp;" of "&amp;COUNT('OKT.001:OKT.xyz - blank'!$P$3)-1</f>
        <v>OKT Project 1 of 19</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t="str">
        <f>RIGHT(N3,3)</f>
        <v/>
      </c>
      <c r="P3" s="443">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84379.319531027868</v>
      </c>
      <c r="P5" s="244"/>
      <c r="R5" s="244"/>
      <c r="S5" s="244"/>
      <c r="T5" s="244"/>
      <c r="U5" s="244"/>
    </row>
    <row r="6" spans="1:21" ht="15.5">
      <c r="C6" s="236"/>
      <c r="D6" s="293"/>
      <c r="E6" s="244"/>
      <c r="F6" s="244"/>
      <c r="G6" s="244"/>
      <c r="H6" s="450"/>
      <c r="I6" s="450"/>
      <c r="J6" s="451"/>
      <c r="K6" s="452" t="s">
        <v>243</v>
      </c>
      <c r="L6" s="453"/>
      <c r="M6" s="279"/>
      <c r="N6" s="454">
        <f>VLOOKUP(I10,C17:I73,6)</f>
        <v>84379.319531027868</v>
      </c>
      <c r="O6" s="244"/>
      <c r="P6" s="244"/>
      <c r="R6" s="244"/>
      <c r="S6" s="244"/>
      <c r="T6" s="244"/>
      <c r="U6" s="244"/>
    </row>
    <row r="7" spans="1:21" ht="13.5" thickBot="1">
      <c r="C7" s="455" t="s">
        <v>46</v>
      </c>
      <c r="D7" s="456" t="s">
        <v>191</v>
      </c>
      <c r="E7" s="331"/>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A9" s="152"/>
      <c r="C9" s="464" t="s">
        <v>48</v>
      </c>
      <c r="D9" s="465" t="s">
        <v>196</v>
      </c>
      <c r="E9" s="466"/>
      <c r="F9" s="466"/>
      <c r="G9" s="466"/>
      <c r="H9" s="466"/>
      <c r="I9" s="467"/>
      <c r="J9" s="468"/>
      <c r="O9" s="469"/>
      <c r="P9" s="279"/>
      <c r="R9" s="244"/>
      <c r="S9" s="244"/>
      <c r="T9" s="244"/>
      <c r="U9" s="244"/>
    </row>
    <row r="10" spans="1:21" ht="13">
      <c r="C10" s="470" t="s">
        <v>49</v>
      </c>
      <c r="D10" s="471">
        <v>723818</v>
      </c>
      <c r="E10" s="300" t="s">
        <v>50</v>
      </c>
      <c r="F10" s="469"/>
      <c r="G10" s="409"/>
      <c r="H10" s="409"/>
      <c r="I10" s="472">
        <f>+OKT.WS.F.BPU.ATRR.Projected!R100</f>
        <v>2019</v>
      </c>
      <c r="J10" s="468"/>
      <c r="K10" s="295" t="s">
        <v>51</v>
      </c>
      <c r="O10" s="279"/>
      <c r="P10" s="279"/>
      <c r="R10" s="244"/>
      <c r="S10" s="244"/>
      <c r="T10" s="244"/>
      <c r="U10" s="244"/>
    </row>
    <row r="11" spans="1:21" ht="12.5">
      <c r="C11" s="473" t="s">
        <v>52</v>
      </c>
      <c r="D11" s="474">
        <v>2010</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12</v>
      </c>
      <c r="E12" s="473" t="s">
        <v>55</v>
      </c>
      <c r="F12" s="409"/>
      <c r="G12" s="221"/>
      <c r="H12" s="221"/>
      <c r="I12" s="477">
        <f>OKT.WS.F.BPU.ATRR.Projected!$F$78</f>
        <v>0.11749102697326873</v>
      </c>
      <c r="J12" s="414"/>
      <c r="K12" s="145" t="s">
        <v>56</v>
      </c>
      <c r="O12" s="279"/>
      <c r="P12" s="279"/>
      <c r="R12" s="244"/>
      <c r="S12" s="244"/>
      <c r="T12" s="244"/>
      <c r="U12" s="244"/>
    </row>
    <row r="13" spans="1:21" ht="12.5">
      <c r="C13" s="473" t="s">
        <v>57</v>
      </c>
      <c r="D13" s="475">
        <f>+OKT.WS.F.BPU.ATRR.Projected!F$89</f>
        <v>41</v>
      </c>
      <c r="E13" s="473" t="s">
        <v>58</v>
      </c>
      <c r="F13" s="409"/>
      <c r="G13" s="221"/>
      <c r="H13" s="221"/>
      <c r="I13" s="477">
        <f>IF(G5="",I12,OKT.WS.F.BPU.ATRR.Projected!$F$77)</f>
        <v>0.11749102697326873</v>
      </c>
      <c r="J13" s="414"/>
      <c r="K13" s="295" t="s">
        <v>59</v>
      </c>
      <c r="L13" s="292"/>
      <c r="M13" s="292"/>
      <c r="N13" s="292"/>
      <c r="O13" s="279"/>
      <c r="P13" s="279"/>
      <c r="R13" s="244"/>
      <c r="S13" s="244"/>
      <c r="T13" s="244"/>
      <c r="U13" s="244"/>
    </row>
    <row r="14" spans="1:21" ht="13" thickBot="1">
      <c r="C14" s="473" t="s">
        <v>60</v>
      </c>
      <c r="D14" s="474"/>
      <c r="E14" s="279" t="s">
        <v>62</v>
      </c>
      <c r="F14" s="409"/>
      <c r="G14" s="221"/>
      <c r="H14" s="221"/>
      <c r="I14" s="478">
        <f>IF(D10=0,0,D10/D13)</f>
        <v>17654.09756097561</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IF(D17=F16,"","IU")</f>
        <v>IU</v>
      </c>
      <c r="C17" s="496">
        <f>IF(D11= "","-",D11)</f>
        <v>2010</v>
      </c>
      <c r="D17" s="497">
        <v>767749</v>
      </c>
      <c r="E17" s="498">
        <v>0</v>
      </c>
      <c r="F17" s="497">
        <v>767749</v>
      </c>
      <c r="G17" s="499">
        <v>92753.205799400443</v>
      </c>
      <c r="H17" s="500">
        <v>92753.205799400443</v>
      </c>
      <c r="I17" s="501">
        <f t="shared" ref="I17:I49" si="0">H17-G17</f>
        <v>0</v>
      </c>
      <c r="J17" s="501"/>
      <c r="K17" s="502">
        <f t="shared" ref="K17:K22" si="1">G17</f>
        <v>92753.205799400443</v>
      </c>
      <c r="L17" s="503">
        <f t="shared" ref="L17:L49" si="2">IF(K17&lt;&gt;0,+G17-K17,0)</f>
        <v>0</v>
      </c>
      <c r="M17" s="502">
        <f t="shared" ref="M17:M22" si="3">H17</f>
        <v>92753.205799400443</v>
      </c>
      <c r="N17" s="504">
        <f t="shared" ref="N17:N49" si="4">IF(M17&lt;&gt;0,+H17-M17,0)</f>
        <v>0</v>
      </c>
      <c r="O17" s="505">
        <f t="shared" ref="O17:O49" si="5">+N17-L17</f>
        <v>0</v>
      </c>
      <c r="P17" s="279"/>
      <c r="R17" s="244"/>
      <c r="S17" s="244"/>
      <c r="T17" s="244"/>
      <c r="U17" s="244"/>
    </row>
    <row r="18" spans="2:21" ht="12.5">
      <c r="B18" s="145" t="str">
        <f>IF(D18=F17,"","IU")</f>
        <v/>
      </c>
      <c r="C18" s="496">
        <f>IF(D11="","-",+C17+1)</f>
        <v>2011</v>
      </c>
      <c r="D18" s="506">
        <v>767749</v>
      </c>
      <c r="E18" s="499">
        <v>10981.365584860865</v>
      </c>
      <c r="F18" s="506">
        <v>756767.63441513909</v>
      </c>
      <c r="G18" s="499">
        <v>109365.67160279222</v>
      </c>
      <c r="H18" s="500">
        <v>109365.67160279222</v>
      </c>
      <c r="I18" s="501">
        <f t="shared" si="0"/>
        <v>0</v>
      </c>
      <c r="J18" s="501"/>
      <c r="K18" s="507">
        <f t="shared" si="1"/>
        <v>109365.67160279222</v>
      </c>
      <c r="L18" s="508">
        <f t="shared" si="2"/>
        <v>0</v>
      </c>
      <c r="M18" s="507">
        <f t="shared" si="3"/>
        <v>109365.67160279222</v>
      </c>
      <c r="N18" s="505">
        <f t="shared" si="4"/>
        <v>0</v>
      </c>
      <c r="O18" s="505">
        <f t="shared" si="5"/>
        <v>0</v>
      </c>
      <c r="P18" s="279"/>
      <c r="R18" s="244"/>
      <c r="S18" s="244"/>
      <c r="T18" s="244"/>
      <c r="U18" s="244"/>
    </row>
    <row r="19" spans="2:21" ht="12.5">
      <c r="B19" s="145" t="str">
        <f t="shared" ref="B19:B73" si="6">IF(D19=F18,"","IU")</f>
        <v/>
      </c>
      <c r="C19" s="496">
        <f>IF(D11="","-",+C18+1)</f>
        <v>2012</v>
      </c>
      <c r="D19" s="506">
        <v>756767.63441513909</v>
      </c>
      <c r="E19" s="499">
        <v>12221.81530625035</v>
      </c>
      <c r="F19" s="506">
        <v>744545.81910888874</v>
      </c>
      <c r="G19" s="499">
        <v>84179.959434377466</v>
      </c>
      <c r="H19" s="500">
        <v>84179.959434377466</v>
      </c>
      <c r="I19" s="501">
        <v>0</v>
      </c>
      <c r="J19" s="501"/>
      <c r="K19" s="507">
        <f t="shared" si="1"/>
        <v>84179.959434377466</v>
      </c>
      <c r="L19" s="505">
        <f t="shared" si="2"/>
        <v>0</v>
      </c>
      <c r="M19" s="507">
        <f t="shared" si="3"/>
        <v>84179.959434377466</v>
      </c>
      <c r="N19" s="505">
        <f t="shared" si="4"/>
        <v>0</v>
      </c>
      <c r="O19" s="505">
        <f t="shared" si="5"/>
        <v>0</v>
      </c>
      <c r="P19" s="279"/>
      <c r="R19" s="244"/>
      <c r="S19" s="244"/>
      <c r="T19" s="244"/>
      <c r="U19" s="244"/>
    </row>
    <row r="20" spans="2:21" ht="12.5">
      <c r="B20" s="145" t="str">
        <f t="shared" si="6"/>
        <v>IU</v>
      </c>
      <c r="C20" s="496">
        <f>IF(D11="","-",+C19+1)</f>
        <v>2013</v>
      </c>
      <c r="D20" s="506">
        <v>700614.81910888874</v>
      </c>
      <c r="E20" s="499">
        <v>12521.479662412485</v>
      </c>
      <c r="F20" s="506">
        <v>688093.33944647631</v>
      </c>
      <c r="G20" s="499">
        <v>87689.629791132116</v>
      </c>
      <c r="H20" s="500">
        <v>87689.629791132116</v>
      </c>
      <c r="I20" s="501">
        <v>0</v>
      </c>
      <c r="J20" s="501"/>
      <c r="K20" s="507">
        <f t="shared" si="1"/>
        <v>87689.629791132116</v>
      </c>
      <c r="L20" s="505">
        <f t="shared" ref="L20:L25" si="7">IF(K20&lt;&gt;0,+G20-K20,0)</f>
        <v>0</v>
      </c>
      <c r="M20" s="507">
        <f t="shared" si="3"/>
        <v>87689.629791132116</v>
      </c>
      <c r="N20" s="505">
        <f>IF(M20&lt;&gt;0,+H20-M20,0)</f>
        <v>0</v>
      </c>
      <c r="O20" s="505">
        <f>+N20-L20</f>
        <v>0</v>
      </c>
      <c r="P20" s="279"/>
      <c r="R20" s="244"/>
      <c r="S20" s="244"/>
      <c r="T20" s="244"/>
      <c r="U20" s="244"/>
    </row>
    <row r="21" spans="2:21" ht="12.5">
      <c r="B21" s="145" t="str">
        <f t="shared" si="6"/>
        <v/>
      </c>
      <c r="C21" s="496">
        <f>IF(D12="","-",+C20+1)</f>
        <v>2014</v>
      </c>
      <c r="D21" s="506">
        <v>688093.33944647631</v>
      </c>
      <c r="E21" s="499">
        <v>12521.479662412485</v>
      </c>
      <c r="F21" s="506">
        <v>675571.85978406388</v>
      </c>
      <c r="G21" s="499">
        <v>86852.845850246973</v>
      </c>
      <c r="H21" s="500">
        <v>86852.845850246973</v>
      </c>
      <c r="I21" s="501">
        <v>0</v>
      </c>
      <c r="J21" s="501"/>
      <c r="K21" s="507">
        <f t="shared" si="1"/>
        <v>86852.845850246973</v>
      </c>
      <c r="L21" s="505">
        <f t="shared" si="7"/>
        <v>0</v>
      </c>
      <c r="M21" s="507">
        <f t="shared" si="3"/>
        <v>86852.845850246973</v>
      </c>
      <c r="N21" s="505">
        <f>IF(M21&lt;&gt;0,+H21-M21,0)</f>
        <v>0</v>
      </c>
      <c r="O21" s="505">
        <f>+N21-L21</f>
        <v>0</v>
      </c>
      <c r="P21" s="279"/>
      <c r="R21" s="244"/>
      <c r="S21" s="244"/>
      <c r="T21" s="244"/>
      <c r="U21" s="244"/>
    </row>
    <row r="22" spans="2:21" ht="12.5">
      <c r="B22" s="145" t="str">
        <f t="shared" si="6"/>
        <v/>
      </c>
      <c r="C22" s="496">
        <f>IF(D11="","-",+C21+1)</f>
        <v>2015</v>
      </c>
      <c r="D22" s="506">
        <v>675571.85978406388</v>
      </c>
      <c r="E22" s="499">
        <v>12521.479662412485</v>
      </c>
      <c r="F22" s="506">
        <v>663050.38012165145</v>
      </c>
      <c r="G22" s="499">
        <v>80859.057608604737</v>
      </c>
      <c r="H22" s="500">
        <v>80859.057608604737</v>
      </c>
      <c r="I22" s="501">
        <f t="shared" si="0"/>
        <v>0</v>
      </c>
      <c r="J22" s="501"/>
      <c r="K22" s="507">
        <f t="shared" si="1"/>
        <v>80859.057608604737</v>
      </c>
      <c r="L22" s="505">
        <f t="shared" si="7"/>
        <v>0</v>
      </c>
      <c r="M22" s="507">
        <f t="shared" si="3"/>
        <v>80859.057608604737</v>
      </c>
      <c r="N22" s="505">
        <f>IF(M22&lt;&gt;0,+H22-M22,0)</f>
        <v>0</v>
      </c>
      <c r="O22" s="505">
        <f>+N22-L22</f>
        <v>0</v>
      </c>
      <c r="P22" s="279"/>
      <c r="R22" s="244"/>
      <c r="S22" s="244"/>
      <c r="T22" s="244"/>
      <c r="U22" s="244"/>
    </row>
    <row r="23" spans="2:21" ht="12.5">
      <c r="B23" s="145" t="str">
        <f t="shared" si="6"/>
        <v/>
      </c>
      <c r="C23" s="496">
        <f>IF(D11="","-",+C22+1)</f>
        <v>2016</v>
      </c>
      <c r="D23" s="506">
        <v>663050.38012165145</v>
      </c>
      <c r="E23" s="499">
        <v>15040.542945521509</v>
      </c>
      <c r="F23" s="506">
        <v>648009.83717612992</v>
      </c>
      <c r="G23" s="499">
        <v>84948.083991581108</v>
      </c>
      <c r="H23" s="500">
        <v>84948.083991581108</v>
      </c>
      <c r="I23" s="501">
        <f t="shared" si="0"/>
        <v>0</v>
      </c>
      <c r="J23" s="501"/>
      <c r="K23" s="507">
        <f>G23</f>
        <v>84948.083991581108</v>
      </c>
      <c r="L23" s="505">
        <f t="shared" si="7"/>
        <v>0</v>
      </c>
      <c r="M23" s="507">
        <f>H23</f>
        <v>84948.083991581108</v>
      </c>
      <c r="N23" s="505">
        <f t="shared" si="4"/>
        <v>0</v>
      </c>
      <c r="O23" s="505">
        <f t="shared" si="5"/>
        <v>0</v>
      </c>
      <c r="P23" s="279"/>
      <c r="R23" s="244"/>
      <c r="S23" s="244"/>
      <c r="T23" s="244"/>
      <c r="U23" s="244"/>
    </row>
    <row r="24" spans="2:21" ht="12.5">
      <c r="B24" s="145" t="str">
        <f t="shared" si="6"/>
        <v/>
      </c>
      <c r="C24" s="496">
        <f>IF(D11="","-",+C23+1)</f>
        <v>2017</v>
      </c>
      <c r="D24" s="506">
        <v>648009.83717612992</v>
      </c>
      <c r="E24" s="499">
        <v>14231.694883080969</v>
      </c>
      <c r="F24" s="506">
        <v>633778.14229304891</v>
      </c>
      <c r="G24" s="499">
        <v>84691.562397354341</v>
      </c>
      <c r="H24" s="500">
        <v>84691.562397354341</v>
      </c>
      <c r="I24" s="501">
        <f t="shared" si="0"/>
        <v>0</v>
      </c>
      <c r="J24" s="501"/>
      <c r="K24" s="507">
        <f>G24</f>
        <v>84691.562397354341</v>
      </c>
      <c r="L24" s="505">
        <f t="shared" si="7"/>
        <v>0</v>
      </c>
      <c r="M24" s="507">
        <f>H24</f>
        <v>84691.562397354341</v>
      </c>
      <c r="N24" s="505">
        <f>IF(M24&lt;&gt;0,+H24-M24,0)</f>
        <v>0</v>
      </c>
      <c r="O24" s="505">
        <f>+N24-L24</f>
        <v>0</v>
      </c>
      <c r="P24" s="279"/>
      <c r="R24" s="244"/>
      <c r="S24" s="244"/>
      <c r="T24" s="244"/>
      <c r="U24" s="244"/>
    </row>
    <row r="25" spans="2:21" ht="12.5">
      <c r="B25" s="145" t="str">
        <f t="shared" si="6"/>
        <v/>
      </c>
      <c r="C25" s="496">
        <f>IF(D11="","-",+C24+1)</f>
        <v>2018</v>
      </c>
      <c r="D25" s="506">
        <v>633778.14229304891</v>
      </c>
      <c r="E25" s="499">
        <v>17751.333847969061</v>
      </c>
      <c r="F25" s="506">
        <v>616026.80844507983</v>
      </c>
      <c r="G25" s="499">
        <v>81256.204053950511</v>
      </c>
      <c r="H25" s="500">
        <v>81256.204053950511</v>
      </c>
      <c r="I25" s="501">
        <f t="shared" si="0"/>
        <v>0</v>
      </c>
      <c r="J25" s="501"/>
      <c r="K25" s="507">
        <f>G25</f>
        <v>81256.204053950511</v>
      </c>
      <c r="L25" s="505">
        <f t="shared" si="7"/>
        <v>0</v>
      </c>
      <c r="M25" s="507">
        <f>H25</f>
        <v>81256.204053950511</v>
      </c>
      <c r="N25" s="505">
        <f>IF(M25&lt;&gt;0,+H25-M25,0)</f>
        <v>0</v>
      </c>
      <c r="O25" s="505">
        <f>+N25-L25</f>
        <v>0</v>
      </c>
      <c r="P25" s="279"/>
      <c r="R25" s="244"/>
      <c r="S25" s="244"/>
      <c r="T25" s="244"/>
      <c r="U25" s="244"/>
    </row>
    <row r="26" spans="2:21" ht="12.5">
      <c r="B26" s="145" t="str">
        <f t="shared" si="6"/>
        <v/>
      </c>
      <c r="C26" s="496">
        <f>IF(D11="","-",+C25+1)</f>
        <v>2019</v>
      </c>
      <c r="D26" s="509">
        <v>616026.80844507983</v>
      </c>
      <c r="E26" s="510">
        <v>21467.607261508991</v>
      </c>
      <c r="F26" s="511">
        <v>594559.2011835709</v>
      </c>
      <c r="G26" s="512">
        <v>84379.319531027868</v>
      </c>
      <c r="H26" s="478">
        <v>84379.319531027868</v>
      </c>
      <c r="I26" s="501">
        <f t="shared" si="0"/>
        <v>0</v>
      </c>
      <c r="J26" s="501"/>
      <c r="K26" s="507">
        <f>G26</f>
        <v>84379.319531027868</v>
      </c>
      <c r="L26" s="505">
        <f t="shared" ref="L26" si="8">IF(K26&lt;&gt;0,+G26-K26,0)</f>
        <v>0</v>
      </c>
      <c r="M26" s="507">
        <f>H26</f>
        <v>84379.319531027868</v>
      </c>
      <c r="N26" s="505">
        <f>IF(M26&lt;&gt;0,+H26-M26,0)</f>
        <v>0</v>
      </c>
      <c r="O26" s="505">
        <f>+N26-L26</f>
        <v>0</v>
      </c>
      <c r="P26" s="279"/>
      <c r="R26" s="244"/>
      <c r="S26" s="244"/>
      <c r="T26" s="244"/>
      <c r="U26" s="244"/>
    </row>
    <row r="27" spans="2:21" ht="12.5">
      <c r="B27" s="145" t="str">
        <f t="shared" si="6"/>
        <v/>
      </c>
      <c r="C27" s="496">
        <f>IF(D11="","-",+C26+1)</f>
        <v>2020</v>
      </c>
      <c r="D27" s="509">
        <f>IF(F26+SUM(E$17:E26)=D$10,F26,D$10-SUM(E$17:E26))</f>
        <v>594559.2011835709</v>
      </c>
      <c r="E27" s="510">
        <f>IF(+I14&lt;F26,I14,D27)</f>
        <v>17654.09756097561</v>
      </c>
      <c r="F27" s="511">
        <f t="shared" ref="F27:F49" si="9">+D27-E27</f>
        <v>576905.10362259531</v>
      </c>
      <c r="G27" s="512">
        <f t="shared" ref="G27:G73" si="10">(D27+F27)/2*I$12+E27</f>
        <v>86472.369678077011</v>
      </c>
      <c r="H27" s="478">
        <f t="shared" ref="H27:H73" si="11">+(D27+F27)/2*I$13+E27</f>
        <v>86472.369678077011</v>
      </c>
      <c r="I27" s="501">
        <f t="shared" si="0"/>
        <v>0</v>
      </c>
      <c r="J27" s="501"/>
      <c r="K27" s="513"/>
      <c r="L27" s="505">
        <f t="shared" si="2"/>
        <v>0</v>
      </c>
      <c r="M27" s="513"/>
      <c r="N27" s="505">
        <f t="shared" si="4"/>
        <v>0</v>
      </c>
      <c r="O27" s="505">
        <f t="shared" si="5"/>
        <v>0</v>
      </c>
      <c r="P27" s="279"/>
      <c r="R27" s="244"/>
      <c r="S27" s="244"/>
      <c r="T27" s="244"/>
      <c r="U27" s="244"/>
    </row>
    <row r="28" spans="2:21" ht="12.5">
      <c r="B28" s="145" t="str">
        <f t="shared" si="6"/>
        <v/>
      </c>
      <c r="C28" s="496">
        <f>IF(D11="","-",+C27+1)</f>
        <v>2021</v>
      </c>
      <c r="D28" s="509">
        <f>IF(F27+SUM(E$17:E27)=D$10,F27,D$10-SUM(E$17:E27))</f>
        <v>576905.10362259531</v>
      </c>
      <c r="E28" s="510">
        <f>IF(+I14&lt;F27,I14,D28)</f>
        <v>17654.09756097561</v>
      </c>
      <c r="F28" s="511">
        <f t="shared" si="9"/>
        <v>559251.00606161973</v>
      </c>
      <c r="G28" s="512">
        <f t="shared" si="10"/>
        <v>84398.171625351693</v>
      </c>
      <c r="H28" s="478">
        <f t="shared" si="11"/>
        <v>84398.171625351693</v>
      </c>
      <c r="I28" s="501">
        <f t="shared" si="0"/>
        <v>0</v>
      </c>
      <c r="J28" s="501"/>
      <c r="K28" s="513"/>
      <c r="L28" s="505">
        <f t="shared" si="2"/>
        <v>0</v>
      </c>
      <c r="M28" s="513"/>
      <c r="N28" s="505">
        <f t="shared" si="4"/>
        <v>0</v>
      </c>
      <c r="O28" s="505">
        <f t="shared" si="5"/>
        <v>0</v>
      </c>
      <c r="P28" s="279"/>
      <c r="R28" s="244"/>
      <c r="S28" s="244"/>
      <c r="T28" s="244"/>
      <c r="U28" s="244"/>
    </row>
    <row r="29" spans="2:21" ht="12.5">
      <c r="B29" s="145" t="str">
        <f t="shared" si="6"/>
        <v/>
      </c>
      <c r="C29" s="496">
        <f>IF(D11="","-",+C28+1)</f>
        <v>2022</v>
      </c>
      <c r="D29" s="509">
        <f>IF(F28+SUM(E$17:E28)=D$10,F28,D$10-SUM(E$17:E28))</f>
        <v>559251.00606161973</v>
      </c>
      <c r="E29" s="510">
        <f>IF(+I14&lt;F28,I14,D29)</f>
        <v>17654.09756097561</v>
      </c>
      <c r="F29" s="511">
        <f t="shared" si="9"/>
        <v>541596.90850064415</v>
      </c>
      <c r="G29" s="512">
        <f t="shared" si="10"/>
        <v>82323.973572626404</v>
      </c>
      <c r="H29" s="478">
        <f t="shared" si="11"/>
        <v>82323.973572626404</v>
      </c>
      <c r="I29" s="501">
        <f t="shared" si="0"/>
        <v>0</v>
      </c>
      <c r="J29" s="501"/>
      <c r="K29" s="513"/>
      <c r="L29" s="505">
        <f t="shared" si="2"/>
        <v>0</v>
      </c>
      <c r="M29" s="513"/>
      <c r="N29" s="505">
        <f t="shared" si="4"/>
        <v>0</v>
      </c>
      <c r="O29" s="505">
        <f t="shared" si="5"/>
        <v>0</v>
      </c>
      <c r="P29" s="279"/>
      <c r="R29" s="244"/>
      <c r="S29" s="244"/>
      <c r="T29" s="244"/>
      <c r="U29" s="244"/>
    </row>
    <row r="30" spans="2:21" ht="12.5">
      <c r="B30" s="145" t="str">
        <f t="shared" si="6"/>
        <v/>
      </c>
      <c r="C30" s="496">
        <f>IF(D11="","-",+C29+1)</f>
        <v>2023</v>
      </c>
      <c r="D30" s="509">
        <f>IF(F29+SUM(E$17:E29)=D$10,F29,D$10-SUM(E$17:E29))</f>
        <v>541596.90850064415</v>
      </c>
      <c r="E30" s="510">
        <f>IF(+I14&lt;F29,I14,D30)</f>
        <v>17654.09756097561</v>
      </c>
      <c r="F30" s="511">
        <f t="shared" si="9"/>
        <v>523942.81093966856</v>
      </c>
      <c r="G30" s="512">
        <f t="shared" si="10"/>
        <v>80249.775519901086</v>
      </c>
      <c r="H30" s="478">
        <f t="shared" si="11"/>
        <v>80249.775519901086</v>
      </c>
      <c r="I30" s="501">
        <f t="shared" si="0"/>
        <v>0</v>
      </c>
      <c r="J30" s="501"/>
      <c r="K30" s="513"/>
      <c r="L30" s="505">
        <f t="shared" si="2"/>
        <v>0</v>
      </c>
      <c r="M30" s="513"/>
      <c r="N30" s="505">
        <f t="shared" si="4"/>
        <v>0</v>
      </c>
      <c r="O30" s="505">
        <f t="shared" si="5"/>
        <v>0</v>
      </c>
      <c r="P30" s="279"/>
      <c r="R30" s="244"/>
      <c r="S30" s="244"/>
      <c r="T30" s="244"/>
      <c r="U30" s="244"/>
    </row>
    <row r="31" spans="2:21" ht="12.5">
      <c r="B31" s="145" t="str">
        <f t="shared" si="6"/>
        <v/>
      </c>
      <c r="C31" s="496">
        <f>IF(D11="","-",+C30+1)</f>
        <v>2024</v>
      </c>
      <c r="D31" s="509">
        <f>IF(F30+SUM(E$17:E30)=D$10,F30,D$10-SUM(E$17:E30))</f>
        <v>523942.81093966856</v>
      </c>
      <c r="E31" s="510">
        <f>IF(+I14&lt;F30,I14,D31)</f>
        <v>17654.09756097561</v>
      </c>
      <c r="F31" s="511">
        <f t="shared" si="9"/>
        <v>506288.71337869298</v>
      </c>
      <c r="G31" s="512">
        <f t="shared" si="10"/>
        <v>78175.577467175797</v>
      </c>
      <c r="H31" s="478">
        <f t="shared" si="11"/>
        <v>78175.577467175797</v>
      </c>
      <c r="I31" s="501">
        <f t="shared" si="0"/>
        <v>0</v>
      </c>
      <c r="J31" s="501"/>
      <c r="K31" s="513"/>
      <c r="L31" s="505">
        <f t="shared" si="2"/>
        <v>0</v>
      </c>
      <c r="M31" s="513"/>
      <c r="N31" s="505">
        <f t="shared" si="4"/>
        <v>0</v>
      </c>
      <c r="O31" s="505">
        <f t="shared" si="5"/>
        <v>0</v>
      </c>
      <c r="P31" s="279"/>
      <c r="Q31" s="221"/>
      <c r="R31" s="279"/>
      <c r="S31" s="279"/>
      <c r="T31" s="279"/>
      <c r="U31" s="244"/>
    </row>
    <row r="32" spans="2:21" ht="12.5">
      <c r="C32" s="496">
        <f>IF(D12="","-",+C31+1)</f>
        <v>2025</v>
      </c>
      <c r="D32" s="509">
        <f>IF(F31+SUM(E$17:E31)=D$10,F31,D$10-SUM(E$17:E31))</f>
        <v>506288.71337869298</v>
      </c>
      <c r="E32" s="510">
        <f>IF(+I14&lt;F31,I14,D32)</f>
        <v>17654.09756097561</v>
      </c>
      <c r="F32" s="511">
        <f>+D32-E32</f>
        <v>488634.61581771739</v>
      </c>
      <c r="G32" s="512">
        <f t="shared" si="10"/>
        <v>76101.379414450494</v>
      </c>
      <c r="H32" s="478">
        <f t="shared" si="11"/>
        <v>76101.379414450494</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IF(D33=F31,"","IU")</f>
        <v/>
      </c>
      <c r="C33" s="496">
        <f>IF(D13="","-",+C32+1)</f>
        <v>2026</v>
      </c>
      <c r="D33" s="509">
        <f>IF(F31+SUM(E$17:E31)=D$10,F31,D$10-SUM(E$17:E31))</f>
        <v>506288.71337869298</v>
      </c>
      <c r="E33" s="510">
        <f>IF(+I14&lt;F31,I14,D33)</f>
        <v>17654.09756097561</v>
      </c>
      <c r="F33" s="511">
        <f t="shared" si="9"/>
        <v>488634.61581771739</v>
      </c>
      <c r="G33" s="512">
        <f t="shared" si="10"/>
        <v>76101.379414450494</v>
      </c>
      <c r="H33" s="478">
        <f t="shared" si="11"/>
        <v>76101.379414450494</v>
      </c>
      <c r="I33" s="501">
        <f t="shared" si="0"/>
        <v>0</v>
      </c>
      <c r="J33" s="501"/>
      <c r="K33" s="513"/>
      <c r="L33" s="505">
        <f t="shared" si="2"/>
        <v>0</v>
      </c>
      <c r="M33" s="513"/>
      <c r="N33" s="505">
        <f t="shared" si="4"/>
        <v>0</v>
      </c>
      <c r="O33" s="505">
        <f t="shared" si="5"/>
        <v>0</v>
      </c>
      <c r="P33" s="279"/>
      <c r="R33" s="244"/>
      <c r="S33" s="244"/>
      <c r="T33" s="244"/>
      <c r="U33" s="244"/>
    </row>
    <row r="34" spans="2:21" ht="12.5">
      <c r="B34" s="145" t="str">
        <f>IF(D34=F33,"","IU")</f>
        <v>IU</v>
      </c>
      <c r="C34" s="514">
        <f>IF(D11="","-",+C33+1)</f>
        <v>2027</v>
      </c>
      <c r="D34" s="515">
        <f>IF(F33+SUM(E$17:E33)=D$10,F33,D$10-SUM(E$17:E33))</f>
        <v>470980.51825674152</v>
      </c>
      <c r="E34" s="516">
        <f>IF(+I14&lt;F33,I14,D34)</f>
        <v>17654.09756097561</v>
      </c>
      <c r="F34" s="517">
        <f t="shared" si="9"/>
        <v>453326.42069576593</v>
      </c>
      <c r="G34" s="518">
        <f t="shared" si="10"/>
        <v>71952.983308999857</v>
      </c>
      <c r="H34" s="519">
        <f t="shared" si="11"/>
        <v>71952.983308999857</v>
      </c>
      <c r="I34" s="520">
        <f t="shared" si="0"/>
        <v>0</v>
      </c>
      <c r="J34" s="520"/>
      <c r="K34" s="521"/>
      <c r="L34" s="522">
        <f t="shared" si="2"/>
        <v>0</v>
      </c>
      <c r="M34" s="521"/>
      <c r="N34" s="522">
        <f t="shared" si="4"/>
        <v>0</v>
      </c>
      <c r="O34" s="522">
        <f t="shared" si="5"/>
        <v>0</v>
      </c>
      <c r="P34" s="523"/>
      <c r="Q34" s="217"/>
      <c r="R34" s="523"/>
      <c r="S34" s="523"/>
      <c r="T34" s="523"/>
      <c r="U34" s="244"/>
    </row>
    <row r="35" spans="2:21" ht="12.5">
      <c r="B35" s="145" t="str">
        <f t="shared" si="6"/>
        <v/>
      </c>
      <c r="C35" s="496">
        <f>IF(D11="","-",+C34+1)</f>
        <v>2028</v>
      </c>
      <c r="D35" s="509">
        <f>IF(F34+SUM(E$17:E34)=D$10,F34,D$10-SUM(E$17:E34))</f>
        <v>453326.42069576593</v>
      </c>
      <c r="E35" s="510">
        <f>IF(+I14&lt;F34,I14,D35)</f>
        <v>17654.09756097561</v>
      </c>
      <c r="F35" s="511">
        <f t="shared" si="9"/>
        <v>435672.32313479035</v>
      </c>
      <c r="G35" s="512">
        <f t="shared" si="10"/>
        <v>69878.785256274568</v>
      </c>
      <c r="H35" s="478">
        <f t="shared" si="11"/>
        <v>69878.785256274568</v>
      </c>
      <c r="I35" s="501">
        <f t="shared" si="0"/>
        <v>0</v>
      </c>
      <c r="J35" s="501"/>
      <c r="K35" s="513"/>
      <c r="L35" s="505">
        <f t="shared" si="2"/>
        <v>0</v>
      </c>
      <c r="M35" s="513"/>
      <c r="N35" s="505">
        <f t="shared" si="4"/>
        <v>0</v>
      </c>
      <c r="O35" s="505">
        <f t="shared" si="5"/>
        <v>0</v>
      </c>
      <c r="P35" s="279"/>
      <c r="R35" s="244"/>
      <c r="S35" s="244"/>
      <c r="T35" s="244"/>
      <c r="U35" s="244"/>
    </row>
    <row r="36" spans="2:21" ht="12.5">
      <c r="B36" s="145" t="str">
        <f t="shared" si="6"/>
        <v/>
      </c>
      <c r="C36" s="496">
        <f>IF(D11="","-",+C35+1)</f>
        <v>2029</v>
      </c>
      <c r="D36" s="509">
        <f>IF(F35+SUM(E$17:E35)=D$10,F35,D$10-SUM(E$17:E35))</f>
        <v>435672.32313479035</v>
      </c>
      <c r="E36" s="510">
        <f>IF(+I14&lt;F35,I14,D36)</f>
        <v>17654.09756097561</v>
      </c>
      <c r="F36" s="511">
        <f t="shared" si="9"/>
        <v>418018.22557381477</v>
      </c>
      <c r="G36" s="512">
        <f t="shared" si="10"/>
        <v>67804.587203549265</v>
      </c>
      <c r="H36" s="478">
        <f t="shared" si="11"/>
        <v>67804.587203549265</v>
      </c>
      <c r="I36" s="501">
        <f t="shared" si="0"/>
        <v>0</v>
      </c>
      <c r="J36" s="501"/>
      <c r="K36" s="513"/>
      <c r="L36" s="505">
        <f t="shared" si="2"/>
        <v>0</v>
      </c>
      <c r="M36" s="513"/>
      <c r="N36" s="505">
        <f t="shared" si="4"/>
        <v>0</v>
      </c>
      <c r="O36" s="505">
        <f t="shared" si="5"/>
        <v>0</v>
      </c>
      <c r="P36" s="279"/>
      <c r="R36" s="244"/>
      <c r="S36" s="244"/>
      <c r="T36" s="244"/>
      <c r="U36" s="244"/>
    </row>
    <row r="37" spans="2:21" ht="12.5">
      <c r="B37" s="145" t="str">
        <f t="shared" si="6"/>
        <v/>
      </c>
      <c r="C37" s="496">
        <f>IF(D11="","-",+C36+1)</f>
        <v>2030</v>
      </c>
      <c r="D37" s="509">
        <f>IF(F36+SUM(E$17:E36)=D$10,F36,D$10-SUM(E$17:E36))</f>
        <v>418018.22557381477</v>
      </c>
      <c r="E37" s="510">
        <f>IF(+I14&lt;F36,I14,D37)</f>
        <v>17654.09756097561</v>
      </c>
      <c r="F37" s="511">
        <f t="shared" si="9"/>
        <v>400364.12801283918</v>
      </c>
      <c r="G37" s="512">
        <f t="shared" si="10"/>
        <v>65730.389150823961</v>
      </c>
      <c r="H37" s="478">
        <f t="shared" si="11"/>
        <v>65730.389150823961</v>
      </c>
      <c r="I37" s="501">
        <f t="shared" si="0"/>
        <v>0</v>
      </c>
      <c r="J37" s="501"/>
      <c r="K37" s="513"/>
      <c r="L37" s="505">
        <f t="shared" si="2"/>
        <v>0</v>
      </c>
      <c r="M37" s="513"/>
      <c r="N37" s="505">
        <f t="shared" si="4"/>
        <v>0</v>
      </c>
      <c r="O37" s="505">
        <f t="shared" si="5"/>
        <v>0</v>
      </c>
      <c r="P37" s="279"/>
      <c r="R37" s="244"/>
      <c r="S37" s="244"/>
      <c r="T37" s="244"/>
      <c r="U37" s="244"/>
    </row>
    <row r="38" spans="2:21" ht="12.5">
      <c r="B38" s="145" t="str">
        <f t="shared" si="6"/>
        <v/>
      </c>
      <c r="C38" s="496">
        <f>IF(D11="","-",+C37+1)</f>
        <v>2031</v>
      </c>
      <c r="D38" s="509">
        <f>IF(F37+SUM(E$17:E37)=D$10,F37,D$10-SUM(E$17:E37))</f>
        <v>400364.12801283918</v>
      </c>
      <c r="E38" s="510">
        <f>IF(+I14&lt;F37,I14,D38)</f>
        <v>17654.09756097561</v>
      </c>
      <c r="F38" s="511">
        <f t="shared" si="9"/>
        <v>382710.0304518636</v>
      </c>
      <c r="G38" s="512">
        <f t="shared" si="10"/>
        <v>63656.191098098658</v>
      </c>
      <c r="H38" s="478">
        <f t="shared" si="11"/>
        <v>63656.191098098658</v>
      </c>
      <c r="I38" s="501">
        <f t="shared" si="0"/>
        <v>0</v>
      </c>
      <c r="J38" s="501"/>
      <c r="K38" s="513"/>
      <c r="L38" s="505">
        <f t="shared" si="2"/>
        <v>0</v>
      </c>
      <c r="M38" s="513"/>
      <c r="N38" s="505">
        <f t="shared" si="4"/>
        <v>0</v>
      </c>
      <c r="O38" s="505">
        <f t="shared" si="5"/>
        <v>0</v>
      </c>
      <c r="P38" s="279"/>
      <c r="R38" s="244"/>
      <c r="S38" s="244"/>
      <c r="T38" s="244"/>
      <c r="U38" s="244"/>
    </row>
    <row r="39" spans="2:21" ht="12.5">
      <c r="B39" s="145" t="str">
        <f t="shared" si="6"/>
        <v/>
      </c>
      <c r="C39" s="496">
        <f>IF(D11="","-",+C38+1)</f>
        <v>2032</v>
      </c>
      <c r="D39" s="509">
        <f>IF(F38+SUM(E$17:E38)=D$10,F38,D$10-SUM(E$17:E38))</f>
        <v>382710.0304518636</v>
      </c>
      <c r="E39" s="510">
        <f>IF(+I14&lt;F38,I14,D39)</f>
        <v>17654.09756097561</v>
      </c>
      <c r="F39" s="511">
        <f t="shared" si="9"/>
        <v>365055.93289088801</v>
      </c>
      <c r="G39" s="512">
        <f t="shared" si="10"/>
        <v>61581.993045373369</v>
      </c>
      <c r="H39" s="478">
        <f t="shared" si="11"/>
        <v>61581.993045373369</v>
      </c>
      <c r="I39" s="501">
        <f t="shared" si="0"/>
        <v>0</v>
      </c>
      <c r="J39" s="501"/>
      <c r="K39" s="513"/>
      <c r="L39" s="505">
        <f t="shared" si="2"/>
        <v>0</v>
      </c>
      <c r="M39" s="513"/>
      <c r="N39" s="505">
        <f t="shared" si="4"/>
        <v>0</v>
      </c>
      <c r="O39" s="505">
        <f t="shared" si="5"/>
        <v>0</v>
      </c>
      <c r="P39" s="279"/>
      <c r="R39" s="244"/>
      <c r="S39" s="244"/>
      <c r="T39" s="244"/>
      <c r="U39" s="244"/>
    </row>
    <row r="40" spans="2:21" ht="12.5">
      <c r="B40" s="145" t="str">
        <f t="shared" si="6"/>
        <v/>
      </c>
      <c r="C40" s="496">
        <f>IF(D11="","-",+C39+1)</f>
        <v>2033</v>
      </c>
      <c r="D40" s="509">
        <f>IF(F39+SUM(E$17:E39)=D$10,F39,D$10-SUM(E$17:E39))</f>
        <v>365055.93289088801</v>
      </c>
      <c r="E40" s="510">
        <f>IF(+I14&lt;F39,I14,D40)</f>
        <v>17654.09756097561</v>
      </c>
      <c r="F40" s="511">
        <f t="shared" si="9"/>
        <v>347401.83532991243</v>
      </c>
      <c r="G40" s="512">
        <f t="shared" si="10"/>
        <v>59507.794992648065</v>
      </c>
      <c r="H40" s="478">
        <f t="shared" si="11"/>
        <v>59507.794992648065</v>
      </c>
      <c r="I40" s="501">
        <f t="shared" si="0"/>
        <v>0</v>
      </c>
      <c r="J40" s="501"/>
      <c r="K40" s="513"/>
      <c r="L40" s="505">
        <f t="shared" si="2"/>
        <v>0</v>
      </c>
      <c r="M40" s="513"/>
      <c r="N40" s="505">
        <f t="shared" si="4"/>
        <v>0</v>
      </c>
      <c r="O40" s="505">
        <f t="shared" si="5"/>
        <v>0</v>
      </c>
      <c r="P40" s="279"/>
      <c r="R40" s="244"/>
      <c r="S40" s="244"/>
      <c r="T40" s="244"/>
      <c r="U40" s="244"/>
    </row>
    <row r="41" spans="2:21" ht="12.5">
      <c r="B41" s="145" t="str">
        <f t="shared" si="6"/>
        <v/>
      </c>
      <c r="C41" s="496">
        <f>IF(D12="","-",+C40+1)</f>
        <v>2034</v>
      </c>
      <c r="D41" s="509">
        <f>IF(F40+SUM(E$17:E40)=D$10,F40,D$10-SUM(E$17:E40))</f>
        <v>347401.83532991243</v>
      </c>
      <c r="E41" s="510">
        <f>IF(+I14&lt;F40,I14,D41)</f>
        <v>17654.09756097561</v>
      </c>
      <c r="F41" s="511">
        <f t="shared" si="9"/>
        <v>329747.73776893684</v>
      </c>
      <c r="G41" s="512">
        <f t="shared" si="10"/>
        <v>57433.596939922762</v>
      </c>
      <c r="H41" s="478">
        <f t="shared" si="11"/>
        <v>57433.596939922762</v>
      </c>
      <c r="I41" s="501">
        <f t="shared" si="0"/>
        <v>0</v>
      </c>
      <c r="J41" s="501"/>
      <c r="K41" s="513"/>
      <c r="L41" s="505">
        <f t="shared" si="2"/>
        <v>0</v>
      </c>
      <c r="M41" s="513"/>
      <c r="N41" s="505">
        <f t="shared" si="4"/>
        <v>0</v>
      </c>
      <c r="O41" s="505">
        <f t="shared" si="5"/>
        <v>0</v>
      </c>
      <c r="P41" s="279"/>
      <c r="R41" s="244"/>
      <c r="S41" s="244"/>
      <c r="T41" s="244"/>
      <c r="U41" s="244"/>
    </row>
    <row r="42" spans="2:21" ht="12.5">
      <c r="B42" s="145" t="str">
        <f t="shared" si="6"/>
        <v/>
      </c>
      <c r="C42" s="496">
        <f>IF(D13="","-",+C41+1)</f>
        <v>2035</v>
      </c>
      <c r="D42" s="509">
        <f>IF(F41+SUM(E$17:E41)=D$10,F41,D$10-SUM(E$17:E41))</f>
        <v>329747.73776893684</v>
      </c>
      <c r="E42" s="510">
        <f>IF(+I14&lt;F41,I14,D42)</f>
        <v>17654.09756097561</v>
      </c>
      <c r="F42" s="511">
        <f t="shared" si="9"/>
        <v>312093.64020796126</v>
      </c>
      <c r="G42" s="512">
        <f t="shared" si="10"/>
        <v>55359.398887197458</v>
      </c>
      <c r="H42" s="478">
        <f t="shared" si="11"/>
        <v>55359.398887197458</v>
      </c>
      <c r="I42" s="501">
        <f t="shared" si="0"/>
        <v>0</v>
      </c>
      <c r="J42" s="501"/>
      <c r="K42" s="513"/>
      <c r="L42" s="505">
        <f t="shared" si="2"/>
        <v>0</v>
      </c>
      <c r="M42" s="513"/>
      <c r="N42" s="505">
        <f t="shared" si="4"/>
        <v>0</v>
      </c>
      <c r="O42" s="505">
        <f t="shared" si="5"/>
        <v>0</v>
      </c>
      <c r="P42" s="279"/>
      <c r="R42" s="244"/>
      <c r="S42" s="244"/>
      <c r="T42" s="244"/>
      <c r="U42" s="244"/>
    </row>
    <row r="43" spans="2:21" ht="12.5">
      <c r="B43" s="145" t="str">
        <f t="shared" si="6"/>
        <v/>
      </c>
      <c r="C43" s="496">
        <f>IF(D11="","-",+C42+1)</f>
        <v>2036</v>
      </c>
      <c r="D43" s="509">
        <f>IF(F42+SUM(E$17:E42)=D$10,F42,D$10-SUM(E$17:E42))</f>
        <v>312093.64020796126</v>
      </c>
      <c r="E43" s="510">
        <f>IF(+I14&lt;F42,I14,D43)</f>
        <v>17654.09756097561</v>
      </c>
      <c r="F43" s="511">
        <f t="shared" si="9"/>
        <v>294439.54264698568</v>
      </c>
      <c r="G43" s="512">
        <f t="shared" si="10"/>
        <v>53285.200834472154</v>
      </c>
      <c r="H43" s="478">
        <f t="shared" si="11"/>
        <v>53285.200834472154</v>
      </c>
      <c r="I43" s="501">
        <f t="shared" si="0"/>
        <v>0</v>
      </c>
      <c r="J43" s="501"/>
      <c r="K43" s="513"/>
      <c r="L43" s="505">
        <f t="shared" si="2"/>
        <v>0</v>
      </c>
      <c r="M43" s="513"/>
      <c r="N43" s="505">
        <f t="shared" si="4"/>
        <v>0</v>
      </c>
      <c r="O43" s="505">
        <f t="shared" si="5"/>
        <v>0</v>
      </c>
      <c r="P43" s="279"/>
      <c r="R43" s="244"/>
      <c r="S43" s="244"/>
      <c r="T43" s="244"/>
      <c r="U43" s="244"/>
    </row>
    <row r="44" spans="2:21" ht="12.5">
      <c r="B44" s="145" t="str">
        <f t="shared" si="6"/>
        <v/>
      </c>
      <c r="C44" s="496">
        <f>IF(D11="","-",+C43+1)</f>
        <v>2037</v>
      </c>
      <c r="D44" s="509">
        <f>IF(F43+SUM(E$17:E43)=D$10,F43,D$10-SUM(E$17:E43))</f>
        <v>294439.54264698568</v>
      </c>
      <c r="E44" s="510">
        <f>IF(+I14&lt;F43,I14,D44)</f>
        <v>17654.09756097561</v>
      </c>
      <c r="F44" s="511">
        <f t="shared" si="9"/>
        <v>276785.44508601009</v>
      </c>
      <c r="G44" s="512">
        <f t="shared" si="10"/>
        <v>51211.002781746865</v>
      </c>
      <c r="H44" s="478">
        <f t="shared" si="11"/>
        <v>51211.002781746865</v>
      </c>
      <c r="I44" s="501">
        <f t="shared" si="0"/>
        <v>0</v>
      </c>
      <c r="J44" s="501"/>
      <c r="K44" s="513"/>
      <c r="L44" s="505">
        <f t="shared" si="2"/>
        <v>0</v>
      </c>
      <c r="M44" s="513"/>
      <c r="N44" s="505">
        <f t="shared" si="4"/>
        <v>0</v>
      </c>
      <c r="O44" s="505">
        <f t="shared" si="5"/>
        <v>0</v>
      </c>
      <c r="P44" s="279"/>
      <c r="R44" s="244"/>
      <c r="S44" s="244"/>
      <c r="T44" s="244"/>
      <c r="U44" s="244"/>
    </row>
    <row r="45" spans="2:21" ht="12.5">
      <c r="B45" s="145" t="str">
        <f t="shared" si="6"/>
        <v/>
      </c>
      <c r="C45" s="496">
        <f>IF(D11="","-",+C44+1)</f>
        <v>2038</v>
      </c>
      <c r="D45" s="509">
        <f>IF(F44+SUM(E$17:E44)=D$10,F44,D$10-SUM(E$17:E44))</f>
        <v>276785.44508601009</v>
      </c>
      <c r="E45" s="510">
        <f>IF(+I14&lt;F44,I14,D45)</f>
        <v>17654.09756097561</v>
      </c>
      <c r="F45" s="511">
        <f t="shared" si="9"/>
        <v>259131.34752503448</v>
      </c>
      <c r="G45" s="512">
        <f t="shared" si="10"/>
        <v>49136.804729021562</v>
      </c>
      <c r="H45" s="478">
        <f t="shared" si="11"/>
        <v>49136.804729021562</v>
      </c>
      <c r="I45" s="501">
        <f t="shared" si="0"/>
        <v>0</v>
      </c>
      <c r="J45" s="501"/>
      <c r="K45" s="513"/>
      <c r="L45" s="505">
        <f t="shared" si="2"/>
        <v>0</v>
      </c>
      <c r="M45" s="513"/>
      <c r="N45" s="505">
        <f t="shared" si="4"/>
        <v>0</v>
      </c>
      <c r="O45" s="505">
        <f t="shared" si="5"/>
        <v>0</v>
      </c>
      <c r="P45" s="279"/>
      <c r="R45" s="244"/>
      <c r="S45" s="244"/>
      <c r="T45" s="244"/>
      <c r="U45" s="244"/>
    </row>
    <row r="46" spans="2:21" ht="12.5">
      <c r="B46" s="145" t="str">
        <f t="shared" si="6"/>
        <v/>
      </c>
      <c r="C46" s="496">
        <f>IF(D11="","-",+C45+1)</f>
        <v>2039</v>
      </c>
      <c r="D46" s="509">
        <f>IF(F45+SUM(E$17:E45)=D$10,F45,D$10-SUM(E$17:E45))</f>
        <v>259131.34752503448</v>
      </c>
      <c r="E46" s="510">
        <f>IF(+I14&lt;F45,I14,D46)</f>
        <v>17654.09756097561</v>
      </c>
      <c r="F46" s="511">
        <f t="shared" si="9"/>
        <v>241477.24996405886</v>
      </c>
      <c r="G46" s="512">
        <f t="shared" si="10"/>
        <v>47062.606676296258</v>
      </c>
      <c r="H46" s="478">
        <f t="shared" si="11"/>
        <v>47062.606676296258</v>
      </c>
      <c r="I46" s="501">
        <f t="shared" si="0"/>
        <v>0</v>
      </c>
      <c r="J46" s="501"/>
      <c r="K46" s="513"/>
      <c r="L46" s="505">
        <f t="shared" si="2"/>
        <v>0</v>
      </c>
      <c r="M46" s="513"/>
      <c r="N46" s="505">
        <f t="shared" si="4"/>
        <v>0</v>
      </c>
      <c r="O46" s="505">
        <f t="shared" si="5"/>
        <v>0</v>
      </c>
      <c r="P46" s="279"/>
      <c r="R46" s="244"/>
      <c r="S46" s="244"/>
      <c r="T46" s="244"/>
      <c r="U46" s="244"/>
    </row>
    <row r="47" spans="2:21" ht="12.5">
      <c r="B47" s="145" t="str">
        <f t="shared" si="6"/>
        <v/>
      </c>
      <c r="C47" s="496">
        <f>IF(D11="","-",+C46+1)</f>
        <v>2040</v>
      </c>
      <c r="D47" s="509">
        <f>IF(F46+SUM(E$17:E46)=D$10,F46,D$10-SUM(E$17:E46))</f>
        <v>241477.24996405886</v>
      </c>
      <c r="E47" s="510">
        <f>IF(+I14&lt;F46,I14,D47)</f>
        <v>17654.09756097561</v>
      </c>
      <c r="F47" s="511">
        <f t="shared" si="9"/>
        <v>223823.15240308325</v>
      </c>
      <c r="G47" s="512">
        <f t="shared" si="10"/>
        <v>44988.408623570955</v>
      </c>
      <c r="H47" s="478">
        <f t="shared" si="11"/>
        <v>44988.408623570955</v>
      </c>
      <c r="I47" s="501">
        <f t="shared" si="0"/>
        <v>0</v>
      </c>
      <c r="J47" s="501"/>
      <c r="K47" s="513"/>
      <c r="L47" s="505">
        <f t="shared" si="2"/>
        <v>0</v>
      </c>
      <c r="M47" s="513"/>
      <c r="N47" s="505">
        <f t="shared" si="4"/>
        <v>0</v>
      </c>
      <c r="O47" s="505">
        <f t="shared" si="5"/>
        <v>0</v>
      </c>
      <c r="P47" s="279"/>
      <c r="R47" s="244"/>
      <c r="S47" s="244"/>
      <c r="T47" s="244"/>
      <c r="U47" s="244"/>
    </row>
    <row r="48" spans="2:21" ht="12.5">
      <c r="B48" s="145" t="str">
        <f t="shared" si="6"/>
        <v/>
      </c>
      <c r="C48" s="496">
        <f>IF(D11="","-",+C47+1)</f>
        <v>2041</v>
      </c>
      <c r="D48" s="509">
        <f>IF(F47+SUM(E$17:E47)=D$10,F47,D$10-SUM(E$17:E47))</f>
        <v>223823.15240308325</v>
      </c>
      <c r="E48" s="510">
        <f>IF(+I14&lt;F47,I14,D48)</f>
        <v>17654.09756097561</v>
      </c>
      <c r="F48" s="511">
        <f t="shared" si="9"/>
        <v>206169.05484210764</v>
      </c>
      <c r="G48" s="512">
        <f t="shared" si="10"/>
        <v>42914.210570845651</v>
      </c>
      <c r="H48" s="478">
        <f t="shared" si="11"/>
        <v>42914.210570845651</v>
      </c>
      <c r="I48" s="501">
        <f t="shared" si="0"/>
        <v>0</v>
      </c>
      <c r="J48" s="501"/>
      <c r="K48" s="513"/>
      <c r="L48" s="505">
        <f t="shared" si="2"/>
        <v>0</v>
      </c>
      <c r="M48" s="513"/>
      <c r="N48" s="505">
        <f t="shared" si="4"/>
        <v>0</v>
      </c>
      <c r="O48" s="505">
        <f t="shared" si="5"/>
        <v>0</v>
      </c>
      <c r="P48" s="279"/>
      <c r="R48" s="244"/>
      <c r="S48" s="244"/>
      <c r="T48" s="244"/>
      <c r="U48" s="244"/>
    </row>
    <row r="49" spans="2:21" ht="12.5">
      <c r="B49" s="145" t="str">
        <f t="shared" si="6"/>
        <v/>
      </c>
      <c r="C49" s="496">
        <f>IF(D11="","-",+C48+1)</f>
        <v>2042</v>
      </c>
      <c r="D49" s="509">
        <f>IF(F48+SUM(E$17:E48)=D$10,F48,D$10-SUM(E$17:E48))</f>
        <v>206169.05484210764</v>
      </c>
      <c r="E49" s="510">
        <f>IF(+I14&lt;F48,I14,D49)</f>
        <v>17654.09756097561</v>
      </c>
      <c r="F49" s="511">
        <f t="shared" si="9"/>
        <v>188514.95728113202</v>
      </c>
      <c r="G49" s="512">
        <f t="shared" si="10"/>
        <v>40840.012518120348</v>
      </c>
      <c r="H49" s="478">
        <f t="shared" si="11"/>
        <v>40840.012518120348</v>
      </c>
      <c r="I49" s="501">
        <f t="shared" si="0"/>
        <v>0</v>
      </c>
      <c r="J49" s="501"/>
      <c r="K49" s="513"/>
      <c r="L49" s="505">
        <f t="shared" si="2"/>
        <v>0</v>
      </c>
      <c r="M49" s="513"/>
      <c r="N49" s="505">
        <f t="shared" si="4"/>
        <v>0</v>
      </c>
      <c r="O49" s="505">
        <f t="shared" si="5"/>
        <v>0</v>
      </c>
      <c r="P49" s="279"/>
      <c r="R49" s="244"/>
      <c r="S49" s="244"/>
      <c r="T49" s="244"/>
      <c r="U49" s="244"/>
    </row>
    <row r="50" spans="2:21" ht="12.5">
      <c r="B50" s="145" t="str">
        <f t="shared" si="6"/>
        <v/>
      </c>
      <c r="C50" s="496">
        <f>IF(D11="","-",+C49+1)</f>
        <v>2043</v>
      </c>
      <c r="D50" s="509">
        <f>IF(F49+SUM(E$17:E49)=D$10,F49,D$10-SUM(E$17:E49))</f>
        <v>188514.95728113202</v>
      </c>
      <c r="E50" s="510">
        <f>IF(+I14&lt;F49,I14,D50)</f>
        <v>17654.09756097561</v>
      </c>
      <c r="F50" s="511">
        <f t="shared" ref="F50:F73" si="12">+D50-E50</f>
        <v>170860.85972015641</v>
      </c>
      <c r="G50" s="512">
        <f t="shared" si="10"/>
        <v>38765.814465395044</v>
      </c>
      <c r="H50" s="478">
        <f t="shared" si="11"/>
        <v>38765.814465395044</v>
      </c>
      <c r="I50" s="501">
        <f t="shared" ref="I50:I73" si="13">H50-G50</f>
        <v>0</v>
      </c>
      <c r="J50" s="501"/>
      <c r="K50" s="513"/>
      <c r="L50" s="505">
        <f t="shared" ref="L50:L73" si="14">IF(K50&lt;&gt;0,+G50-K50,0)</f>
        <v>0</v>
      </c>
      <c r="M50" s="513"/>
      <c r="N50" s="505">
        <f t="shared" ref="N50:N73" si="15">IF(M50&lt;&gt;0,+H50-M50,0)</f>
        <v>0</v>
      </c>
      <c r="O50" s="505">
        <f t="shared" ref="O50:O73" si="16">+N50-L50</f>
        <v>0</v>
      </c>
      <c r="P50" s="279"/>
      <c r="R50" s="244"/>
      <c r="S50" s="244"/>
      <c r="T50" s="244"/>
      <c r="U50" s="244"/>
    </row>
    <row r="51" spans="2:21" ht="12.5">
      <c r="B51" s="145" t="str">
        <f t="shared" si="6"/>
        <v/>
      </c>
      <c r="C51" s="496">
        <f>IF(D11="","-",+C50+1)</f>
        <v>2044</v>
      </c>
      <c r="D51" s="509">
        <f>IF(F50+SUM(E$17:E50)=D$10,F50,D$10-SUM(E$17:E50))</f>
        <v>170860.85972015641</v>
      </c>
      <c r="E51" s="510">
        <f>IF(+I14&lt;F50,I14,D51)</f>
        <v>17654.09756097561</v>
      </c>
      <c r="F51" s="511">
        <f t="shared" si="12"/>
        <v>153206.7621591808</v>
      </c>
      <c r="G51" s="512">
        <f t="shared" si="10"/>
        <v>36691.61641266974</v>
      </c>
      <c r="H51" s="478">
        <f t="shared" si="11"/>
        <v>36691.61641266974</v>
      </c>
      <c r="I51" s="501">
        <f t="shared" si="13"/>
        <v>0</v>
      </c>
      <c r="J51" s="501"/>
      <c r="K51" s="513"/>
      <c r="L51" s="505">
        <f t="shared" si="14"/>
        <v>0</v>
      </c>
      <c r="M51" s="513"/>
      <c r="N51" s="505">
        <f t="shared" si="15"/>
        <v>0</v>
      </c>
      <c r="O51" s="505">
        <f t="shared" si="16"/>
        <v>0</v>
      </c>
      <c r="P51" s="279"/>
      <c r="R51" s="244"/>
      <c r="S51" s="244"/>
      <c r="T51" s="244"/>
      <c r="U51" s="244"/>
    </row>
    <row r="52" spans="2:21" ht="12.5">
      <c r="B52" s="145" t="str">
        <f t="shared" si="6"/>
        <v/>
      </c>
      <c r="C52" s="496">
        <f>IF(D11="","-",+C51+1)</f>
        <v>2045</v>
      </c>
      <c r="D52" s="509">
        <f>IF(F51+SUM(E$17:E51)=D$10,F51,D$10-SUM(E$17:E51))</f>
        <v>153206.7621591808</v>
      </c>
      <c r="E52" s="510">
        <f>IF(+I14&lt;F51,I14,D52)</f>
        <v>17654.09756097561</v>
      </c>
      <c r="F52" s="511">
        <f t="shared" si="12"/>
        <v>135552.66459820519</v>
      </c>
      <c r="G52" s="512">
        <f t="shared" si="10"/>
        <v>34617.418359944437</v>
      </c>
      <c r="H52" s="478">
        <f t="shared" si="11"/>
        <v>34617.418359944437</v>
      </c>
      <c r="I52" s="501">
        <f t="shared" si="13"/>
        <v>0</v>
      </c>
      <c r="J52" s="501"/>
      <c r="K52" s="513"/>
      <c r="L52" s="505">
        <f t="shared" si="14"/>
        <v>0</v>
      </c>
      <c r="M52" s="513"/>
      <c r="N52" s="505">
        <f t="shared" si="15"/>
        <v>0</v>
      </c>
      <c r="O52" s="505">
        <f t="shared" si="16"/>
        <v>0</v>
      </c>
      <c r="P52" s="279"/>
      <c r="R52" s="244"/>
      <c r="S52" s="244"/>
      <c r="T52" s="244"/>
      <c r="U52" s="244"/>
    </row>
    <row r="53" spans="2:21" ht="12.5">
      <c r="B53" s="145" t="str">
        <f t="shared" si="6"/>
        <v/>
      </c>
      <c r="C53" s="496">
        <f>IF(D11="","-",+C52+1)</f>
        <v>2046</v>
      </c>
      <c r="D53" s="509">
        <f>IF(F52+SUM(E$17:E52)=D$10,F52,D$10-SUM(E$17:E52))</f>
        <v>135552.66459820519</v>
      </c>
      <c r="E53" s="510">
        <f>IF(+I14&lt;F52,I14,D53)</f>
        <v>17654.09756097561</v>
      </c>
      <c r="F53" s="511">
        <f t="shared" si="12"/>
        <v>117898.56703722957</v>
      </c>
      <c r="G53" s="512">
        <f t="shared" si="10"/>
        <v>32543.220307219133</v>
      </c>
      <c r="H53" s="478">
        <f t="shared" si="11"/>
        <v>32543.220307219133</v>
      </c>
      <c r="I53" s="501">
        <f t="shared" si="13"/>
        <v>0</v>
      </c>
      <c r="J53" s="501"/>
      <c r="K53" s="513"/>
      <c r="L53" s="505">
        <f t="shared" si="14"/>
        <v>0</v>
      </c>
      <c r="M53" s="513"/>
      <c r="N53" s="505">
        <f t="shared" si="15"/>
        <v>0</v>
      </c>
      <c r="O53" s="505">
        <f t="shared" si="16"/>
        <v>0</v>
      </c>
      <c r="P53" s="279"/>
      <c r="R53" s="244"/>
      <c r="S53" s="244"/>
      <c r="T53" s="244"/>
      <c r="U53" s="244"/>
    </row>
    <row r="54" spans="2:21" ht="12.5">
      <c r="B54" s="145" t="str">
        <f t="shared" si="6"/>
        <v/>
      </c>
      <c r="C54" s="496">
        <f>IF(D11="","-",+C53+1)</f>
        <v>2047</v>
      </c>
      <c r="D54" s="509">
        <f>IF(F53+SUM(E$17:E53)=D$10,F53,D$10-SUM(E$17:E53))</f>
        <v>117898.56703722957</v>
      </c>
      <c r="E54" s="510">
        <f>IF(+I14&lt;F53,I14,D54)</f>
        <v>17654.09756097561</v>
      </c>
      <c r="F54" s="511">
        <f t="shared" si="12"/>
        <v>100244.46947625396</v>
      </c>
      <c r="G54" s="512">
        <f t="shared" si="10"/>
        <v>30469.02225449383</v>
      </c>
      <c r="H54" s="478">
        <f t="shared" si="11"/>
        <v>30469.02225449383</v>
      </c>
      <c r="I54" s="501">
        <f t="shared" si="13"/>
        <v>0</v>
      </c>
      <c r="J54" s="501"/>
      <c r="K54" s="513"/>
      <c r="L54" s="505">
        <f t="shared" si="14"/>
        <v>0</v>
      </c>
      <c r="M54" s="513"/>
      <c r="N54" s="505">
        <f t="shared" si="15"/>
        <v>0</v>
      </c>
      <c r="O54" s="505">
        <f t="shared" si="16"/>
        <v>0</v>
      </c>
      <c r="P54" s="279"/>
      <c r="R54" s="244"/>
      <c r="S54" s="244"/>
      <c r="T54" s="244"/>
      <c r="U54" s="244"/>
    </row>
    <row r="55" spans="2:21" ht="12.5">
      <c r="B55" s="145" t="str">
        <f t="shared" si="6"/>
        <v/>
      </c>
      <c r="C55" s="496">
        <f>IF(D11="","-",+C54+1)</f>
        <v>2048</v>
      </c>
      <c r="D55" s="509">
        <f>IF(F54+SUM(E$17:E54)=D$10,F54,D$10-SUM(E$17:E54))</f>
        <v>100244.46947625396</v>
      </c>
      <c r="E55" s="510">
        <f>IF(+I14&lt;F54,I14,D55)</f>
        <v>17654.09756097561</v>
      </c>
      <c r="F55" s="511">
        <f t="shared" si="12"/>
        <v>82590.371915278345</v>
      </c>
      <c r="G55" s="512">
        <f t="shared" si="10"/>
        <v>28394.824201768526</v>
      </c>
      <c r="H55" s="478">
        <f t="shared" si="11"/>
        <v>28394.824201768526</v>
      </c>
      <c r="I55" s="501">
        <f t="shared" si="13"/>
        <v>0</v>
      </c>
      <c r="J55" s="501"/>
      <c r="K55" s="513"/>
      <c r="L55" s="505">
        <f t="shared" si="14"/>
        <v>0</v>
      </c>
      <c r="M55" s="513"/>
      <c r="N55" s="505">
        <f t="shared" si="15"/>
        <v>0</v>
      </c>
      <c r="O55" s="505">
        <f t="shared" si="16"/>
        <v>0</v>
      </c>
      <c r="P55" s="279"/>
      <c r="R55" s="244"/>
      <c r="S55" s="244"/>
      <c r="T55" s="244"/>
      <c r="U55" s="244"/>
    </row>
    <row r="56" spans="2:21" ht="12.5">
      <c r="B56" s="145" t="str">
        <f t="shared" si="6"/>
        <v/>
      </c>
      <c r="C56" s="496">
        <f>IF(D11="","-",+C55+1)</f>
        <v>2049</v>
      </c>
      <c r="D56" s="509">
        <f>IF(F55+SUM(E$17:E55)=D$10,F55,D$10-SUM(E$17:E55))</f>
        <v>82590.371915278345</v>
      </c>
      <c r="E56" s="510">
        <f>IF(+I14&lt;F55,I14,D56)</f>
        <v>17654.09756097561</v>
      </c>
      <c r="F56" s="511">
        <f t="shared" si="12"/>
        <v>64936.274354302732</v>
      </c>
      <c r="G56" s="512">
        <f t="shared" si="10"/>
        <v>26320.626149043223</v>
      </c>
      <c r="H56" s="478">
        <f t="shared" si="11"/>
        <v>26320.626149043223</v>
      </c>
      <c r="I56" s="501">
        <f t="shared" si="13"/>
        <v>0</v>
      </c>
      <c r="J56" s="501"/>
      <c r="K56" s="513"/>
      <c r="L56" s="505">
        <f t="shared" si="14"/>
        <v>0</v>
      </c>
      <c r="M56" s="513"/>
      <c r="N56" s="505">
        <f t="shared" si="15"/>
        <v>0</v>
      </c>
      <c r="O56" s="505">
        <f t="shared" si="16"/>
        <v>0</v>
      </c>
      <c r="P56" s="279"/>
      <c r="R56" s="244"/>
      <c r="S56" s="244"/>
      <c r="T56" s="244"/>
      <c r="U56" s="244"/>
    </row>
    <row r="57" spans="2:21" ht="12.5">
      <c r="B57" s="145" t="str">
        <f t="shared" si="6"/>
        <v/>
      </c>
      <c r="C57" s="496">
        <f>IF(D11="","-",+C56+1)</f>
        <v>2050</v>
      </c>
      <c r="D57" s="509">
        <f>IF(F56+SUM(E$17:E56)=D$10,F56,D$10-SUM(E$17:E56))</f>
        <v>64936.274354302732</v>
      </c>
      <c r="E57" s="510">
        <f>IF(+I14&lt;F56,I14,D57)</f>
        <v>17654.09756097561</v>
      </c>
      <c r="F57" s="511">
        <f t="shared" si="12"/>
        <v>47282.176793327119</v>
      </c>
      <c r="G57" s="512">
        <f t="shared" si="10"/>
        <v>24246.428096317919</v>
      </c>
      <c r="H57" s="478">
        <f t="shared" si="11"/>
        <v>24246.428096317919</v>
      </c>
      <c r="I57" s="501">
        <f t="shared" si="13"/>
        <v>0</v>
      </c>
      <c r="J57" s="501"/>
      <c r="K57" s="513"/>
      <c r="L57" s="505">
        <f t="shared" si="14"/>
        <v>0</v>
      </c>
      <c r="M57" s="513"/>
      <c r="N57" s="505">
        <f t="shared" si="15"/>
        <v>0</v>
      </c>
      <c r="O57" s="505">
        <f t="shared" si="16"/>
        <v>0</v>
      </c>
      <c r="P57" s="279"/>
      <c r="R57" s="244"/>
      <c r="S57" s="244"/>
      <c r="T57" s="244"/>
      <c r="U57" s="244"/>
    </row>
    <row r="58" spans="2:21" ht="12.5">
      <c r="B58" s="145" t="str">
        <f t="shared" si="6"/>
        <v/>
      </c>
      <c r="C58" s="496">
        <f>IF(D11="","-",+C57+1)</f>
        <v>2051</v>
      </c>
      <c r="D58" s="509">
        <f>IF(F57+SUM(E$17:E57)=D$10,F57,D$10-SUM(E$17:E57))</f>
        <v>47282.176793327119</v>
      </c>
      <c r="E58" s="510">
        <f>IF(+I14&lt;F57,I14,D58)</f>
        <v>17654.09756097561</v>
      </c>
      <c r="F58" s="511">
        <f t="shared" si="12"/>
        <v>29628.079232351509</v>
      </c>
      <c r="G58" s="512">
        <f t="shared" si="10"/>
        <v>22172.230043592615</v>
      </c>
      <c r="H58" s="478">
        <f t="shared" si="11"/>
        <v>22172.230043592615</v>
      </c>
      <c r="I58" s="501">
        <f t="shared" si="13"/>
        <v>0</v>
      </c>
      <c r="J58" s="501"/>
      <c r="K58" s="513"/>
      <c r="L58" s="505">
        <f t="shared" si="14"/>
        <v>0</v>
      </c>
      <c r="M58" s="513"/>
      <c r="N58" s="505">
        <f t="shared" si="15"/>
        <v>0</v>
      </c>
      <c r="O58" s="505">
        <f t="shared" si="16"/>
        <v>0</v>
      </c>
      <c r="P58" s="279"/>
      <c r="R58" s="244"/>
      <c r="S58" s="244"/>
      <c r="T58" s="244"/>
      <c r="U58" s="244"/>
    </row>
    <row r="59" spans="2:21" ht="12.5">
      <c r="B59" s="145" t="str">
        <f t="shared" si="6"/>
        <v/>
      </c>
      <c r="C59" s="496">
        <f>IF(D11="","-",+C58+1)</f>
        <v>2052</v>
      </c>
      <c r="D59" s="509">
        <f>IF(F58+SUM(E$17:E58)=D$10,F58,D$10-SUM(E$17:E58))</f>
        <v>29628.079232351509</v>
      </c>
      <c r="E59" s="510">
        <f>IF(+I14&lt;F58,I14,D59)</f>
        <v>17654.09756097561</v>
      </c>
      <c r="F59" s="511">
        <f t="shared" si="12"/>
        <v>11973.981671375899</v>
      </c>
      <c r="G59" s="512">
        <f t="shared" si="10"/>
        <v>20098.031990867312</v>
      </c>
      <c r="H59" s="478">
        <f t="shared" si="11"/>
        <v>20098.031990867312</v>
      </c>
      <c r="I59" s="501">
        <f t="shared" si="13"/>
        <v>0</v>
      </c>
      <c r="J59" s="501"/>
      <c r="K59" s="513"/>
      <c r="L59" s="505">
        <f t="shared" si="14"/>
        <v>0</v>
      </c>
      <c r="M59" s="513"/>
      <c r="N59" s="505">
        <f t="shared" si="15"/>
        <v>0</v>
      </c>
      <c r="O59" s="505">
        <f t="shared" si="16"/>
        <v>0</v>
      </c>
      <c r="P59" s="279"/>
      <c r="R59" s="244"/>
      <c r="S59" s="244"/>
      <c r="T59" s="244"/>
      <c r="U59" s="244"/>
    </row>
    <row r="60" spans="2:21" ht="12.5">
      <c r="B60" s="145" t="str">
        <f t="shared" si="6"/>
        <v/>
      </c>
      <c r="C60" s="496">
        <f>IF(D11="","-",+C59+1)</f>
        <v>2053</v>
      </c>
      <c r="D60" s="509">
        <f>IF(F59+SUM(E$17:E59)=D$10,F59,D$10-SUM(E$17:E59))</f>
        <v>11973.981671375899</v>
      </c>
      <c r="E60" s="510">
        <f>IF(+I14&lt;F59,I14,D60)</f>
        <v>11973.981671375899</v>
      </c>
      <c r="F60" s="511">
        <f t="shared" si="12"/>
        <v>0</v>
      </c>
      <c r="G60" s="512">
        <f t="shared" si="10"/>
        <v>12677.399373140424</v>
      </c>
      <c r="H60" s="478">
        <f t="shared" si="11"/>
        <v>12677.399373140424</v>
      </c>
      <c r="I60" s="501">
        <f t="shared" si="13"/>
        <v>0</v>
      </c>
      <c r="J60" s="501"/>
      <c r="K60" s="513"/>
      <c r="L60" s="505">
        <f t="shared" si="14"/>
        <v>0</v>
      </c>
      <c r="M60" s="513"/>
      <c r="N60" s="505">
        <f t="shared" si="15"/>
        <v>0</v>
      </c>
      <c r="O60" s="505">
        <f t="shared" si="16"/>
        <v>0</v>
      </c>
      <c r="P60" s="279"/>
      <c r="R60" s="244"/>
      <c r="S60" s="244"/>
      <c r="T60" s="244"/>
      <c r="U60" s="244"/>
    </row>
    <row r="61" spans="2:21" ht="12.5">
      <c r="B61" s="145" t="str">
        <f t="shared" si="6"/>
        <v/>
      </c>
      <c r="C61" s="496">
        <f>IF(D11="","-",+C60+1)</f>
        <v>2054</v>
      </c>
      <c r="D61" s="509">
        <f>IF(F60+SUM(E$17:E60)=D$10,F60,D$10-SUM(E$17:E60))</f>
        <v>0</v>
      </c>
      <c r="E61" s="510">
        <f>IF(+I14&lt;F60,I14,D61)</f>
        <v>0</v>
      </c>
      <c r="F61" s="511">
        <f t="shared" si="12"/>
        <v>0</v>
      </c>
      <c r="G61" s="512">
        <f t="shared" si="10"/>
        <v>0</v>
      </c>
      <c r="H61" s="478">
        <f t="shared" si="11"/>
        <v>0</v>
      </c>
      <c r="I61" s="501">
        <f t="shared" si="13"/>
        <v>0</v>
      </c>
      <c r="J61" s="501"/>
      <c r="K61" s="513"/>
      <c r="L61" s="505">
        <f t="shared" si="14"/>
        <v>0</v>
      </c>
      <c r="M61" s="513"/>
      <c r="N61" s="505">
        <f t="shared" si="15"/>
        <v>0</v>
      </c>
      <c r="O61" s="505">
        <f t="shared" si="16"/>
        <v>0</v>
      </c>
      <c r="P61" s="279"/>
      <c r="R61" s="244"/>
      <c r="S61" s="244"/>
      <c r="T61" s="244"/>
      <c r="U61" s="244"/>
    </row>
    <row r="62" spans="2:21" ht="12.5">
      <c r="B62" s="145" t="str">
        <f t="shared" si="6"/>
        <v/>
      </c>
      <c r="C62" s="496">
        <f>IF(D11="","-",+C61+1)</f>
        <v>2055</v>
      </c>
      <c r="D62" s="509">
        <f>IF(F61+SUM(E$17:E61)=D$10,F61,D$10-SUM(E$17:E61))</f>
        <v>0</v>
      </c>
      <c r="E62" s="510">
        <f>IF(+I14&lt;F61,I14,D62)</f>
        <v>0</v>
      </c>
      <c r="F62" s="511">
        <f t="shared" si="12"/>
        <v>0</v>
      </c>
      <c r="G62" s="524">
        <f t="shared" si="10"/>
        <v>0</v>
      </c>
      <c r="H62" s="478">
        <f t="shared" si="11"/>
        <v>0</v>
      </c>
      <c r="I62" s="501">
        <f t="shared" si="13"/>
        <v>0</v>
      </c>
      <c r="J62" s="501"/>
      <c r="K62" s="513"/>
      <c r="L62" s="505">
        <f t="shared" si="14"/>
        <v>0</v>
      </c>
      <c r="M62" s="513"/>
      <c r="N62" s="505">
        <f t="shared" si="15"/>
        <v>0</v>
      </c>
      <c r="O62" s="505">
        <f t="shared" si="16"/>
        <v>0</v>
      </c>
      <c r="P62" s="279"/>
      <c r="R62" s="244"/>
      <c r="S62" s="244"/>
      <c r="T62" s="244"/>
      <c r="U62" s="244"/>
    </row>
    <row r="63" spans="2:21" ht="12.5">
      <c r="B63" s="145" t="str">
        <f t="shared" si="6"/>
        <v/>
      </c>
      <c r="C63" s="496">
        <f>IF(D11="","-",+C62+1)</f>
        <v>2056</v>
      </c>
      <c r="D63" s="509">
        <f>IF(F62+SUM(E$17:E62)=D$10,F62,D$10-SUM(E$17:E62))</f>
        <v>0</v>
      </c>
      <c r="E63" s="510">
        <f>IF(+I14&lt;F62,I14,D63)</f>
        <v>0</v>
      </c>
      <c r="F63" s="511">
        <f t="shared" si="12"/>
        <v>0</v>
      </c>
      <c r="G63" s="524">
        <f t="shared" si="10"/>
        <v>0</v>
      </c>
      <c r="H63" s="478">
        <f t="shared" si="11"/>
        <v>0</v>
      </c>
      <c r="I63" s="501">
        <f t="shared" si="13"/>
        <v>0</v>
      </c>
      <c r="J63" s="501"/>
      <c r="K63" s="513"/>
      <c r="L63" s="505">
        <f t="shared" si="14"/>
        <v>0</v>
      </c>
      <c r="M63" s="513"/>
      <c r="N63" s="505">
        <f t="shared" si="15"/>
        <v>0</v>
      </c>
      <c r="O63" s="505">
        <f t="shared" si="16"/>
        <v>0</v>
      </c>
      <c r="P63" s="279"/>
      <c r="R63" s="244"/>
      <c r="S63" s="244"/>
      <c r="T63" s="244"/>
      <c r="U63" s="244"/>
    </row>
    <row r="64" spans="2:21" ht="12.5">
      <c r="B64" s="145" t="str">
        <f t="shared" si="6"/>
        <v/>
      </c>
      <c r="C64" s="496">
        <f>IF(D11="","-",+C63+1)</f>
        <v>2057</v>
      </c>
      <c r="D64" s="509">
        <f>IF(F63+SUM(E$17:E63)=D$10,F63,D$10-SUM(E$17:E63))</f>
        <v>0</v>
      </c>
      <c r="E64" s="510">
        <f>IF(+I14&lt;F63,I14,D64)</f>
        <v>0</v>
      </c>
      <c r="F64" s="511">
        <f t="shared" si="12"/>
        <v>0</v>
      </c>
      <c r="G64" s="524">
        <f t="shared" si="10"/>
        <v>0</v>
      </c>
      <c r="H64" s="478">
        <f t="shared" si="11"/>
        <v>0</v>
      </c>
      <c r="I64" s="501">
        <f t="shared" si="13"/>
        <v>0</v>
      </c>
      <c r="J64" s="501"/>
      <c r="K64" s="513"/>
      <c r="L64" s="505">
        <f t="shared" si="14"/>
        <v>0</v>
      </c>
      <c r="M64" s="513"/>
      <c r="N64" s="505">
        <f t="shared" si="15"/>
        <v>0</v>
      </c>
      <c r="O64" s="505">
        <f t="shared" si="16"/>
        <v>0</v>
      </c>
      <c r="P64" s="279"/>
      <c r="R64" s="244"/>
      <c r="S64" s="244"/>
      <c r="T64" s="244"/>
      <c r="U64" s="244"/>
    </row>
    <row r="65" spans="1:21" ht="12.5">
      <c r="B65" s="145" t="str">
        <f t="shared" si="6"/>
        <v/>
      </c>
      <c r="C65" s="496">
        <f>IF(D11="","-",+C64+1)</f>
        <v>2058</v>
      </c>
      <c r="D65" s="509">
        <f>IF(F64+SUM(E$17:E64)=D$10,F64,D$10-SUM(E$17:E64))</f>
        <v>0</v>
      </c>
      <c r="E65" s="510">
        <f>IF(+I14&lt;F64,I14,D65)</f>
        <v>0</v>
      </c>
      <c r="F65" s="511">
        <f t="shared" si="12"/>
        <v>0</v>
      </c>
      <c r="G65" s="524">
        <f t="shared" si="10"/>
        <v>0</v>
      </c>
      <c r="H65" s="478">
        <f t="shared" si="11"/>
        <v>0</v>
      </c>
      <c r="I65" s="501">
        <f t="shared" si="13"/>
        <v>0</v>
      </c>
      <c r="J65" s="501"/>
      <c r="K65" s="513"/>
      <c r="L65" s="505">
        <f t="shared" si="14"/>
        <v>0</v>
      </c>
      <c r="M65" s="513"/>
      <c r="N65" s="505">
        <f t="shared" si="15"/>
        <v>0</v>
      </c>
      <c r="O65" s="505">
        <f t="shared" si="16"/>
        <v>0</v>
      </c>
      <c r="P65" s="279"/>
      <c r="R65" s="244"/>
      <c r="S65" s="244"/>
      <c r="T65" s="244"/>
      <c r="U65" s="244"/>
    </row>
    <row r="66" spans="1:21" ht="12.5">
      <c r="B66" s="145" t="str">
        <f t="shared" si="6"/>
        <v/>
      </c>
      <c r="C66" s="496">
        <f>IF(D11="","-",+C65+1)</f>
        <v>2059</v>
      </c>
      <c r="D66" s="509">
        <f>IF(F65+SUM(E$17:E65)=D$10,F65,D$10-SUM(E$17:E65))</f>
        <v>0</v>
      </c>
      <c r="E66" s="510">
        <f>IF(+I14&lt;F65,I14,D66)</f>
        <v>0</v>
      </c>
      <c r="F66" s="511">
        <f t="shared" si="12"/>
        <v>0</v>
      </c>
      <c r="G66" s="524">
        <f t="shared" si="10"/>
        <v>0</v>
      </c>
      <c r="H66" s="478">
        <f t="shared" si="11"/>
        <v>0</v>
      </c>
      <c r="I66" s="501">
        <f t="shared" si="13"/>
        <v>0</v>
      </c>
      <c r="J66" s="501"/>
      <c r="K66" s="513"/>
      <c r="L66" s="505">
        <f t="shared" si="14"/>
        <v>0</v>
      </c>
      <c r="M66" s="513"/>
      <c r="N66" s="505">
        <f t="shared" si="15"/>
        <v>0</v>
      </c>
      <c r="O66" s="505">
        <f t="shared" si="16"/>
        <v>0</v>
      </c>
      <c r="P66" s="279"/>
      <c r="R66" s="244"/>
      <c r="S66" s="244"/>
      <c r="T66" s="244"/>
      <c r="U66" s="244"/>
    </row>
    <row r="67" spans="1:21" ht="12.5">
      <c r="B67" s="145" t="str">
        <f t="shared" si="6"/>
        <v/>
      </c>
      <c r="C67" s="496">
        <f>IF(D11="","-",+C66+1)</f>
        <v>2060</v>
      </c>
      <c r="D67" s="509">
        <f>IF(F66+SUM(E$17:E66)=D$10,F66,D$10-SUM(E$17:E66))</f>
        <v>0</v>
      </c>
      <c r="E67" s="510">
        <f>IF(+I14&lt;F66,I14,D67)</f>
        <v>0</v>
      </c>
      <c r="F67" s="511">
        <f t="shared" si="12"/>
        <v>0</v>
      </c>
      <c r="G67" s="524">
        <f t="shared" si="10"/>
        <v>0</v>
      </c>
      <c r="H67" s="478">
        <f t="shared" si="11"/>
        <v>0</v>
      </c>
      <c r="I67" s="501">
        <f t="shared" si="13"/>
        <v>0</v>
      </c>
      <c r="J67" s="501"/>
      <c r="K67" s="513"/>
      <c r="L67" s="505">
        <f t="shared" si="14"/>
        <v>0</v>
      </c>
      <c r="M67" s="513"/>
      <c r="N67" s="505">
        <f t="shared" si="15"/>
        <v>0</v>
      </c>
      <c r="O67" s="505">
        <f t="shared" si="16"/>
        <v>0</v>
      </c>
      <c r="P67" s="279"/>
      <c r="R67" s="244"/>
      <c r="S67" s="244"/>
      <c r="T67" s="244"/>
      <c r="U67" s="244"/>
    </row>
    <row r="68" spans="1:21" ht="12.5">
      <c r="B68" s="145" t="str">
        <f t="shared" si="6"/>
        <v/>
      </c>
      <c r="C68" s="496">
        <f>IF(D11="","-",+C67+1)</f>
        <v>2061</v>
      </c>
      <c r="D68" s="509">
        <f>IF(F67+SUM(E$17:E67)=D$10,F67,D$10-SUM(E$17:E67))</f>
        <v>0</v>
      </c>
      <c r="E68" s="510">
        <f>IF(+I14&lt;F67,I14,D68)</f>
        <v>0</v>
      </c>
      <c r="F68" s="511">
        <f t="shared" si="12"/>
        <v>0</v>
      </c>
      <c r="G68" s="524">
        <f t="shared" si="10"/>
        <v>0</v>
      </c>
      <c r="H68" s="478">
        <f t="shared" si="11"/>
        <v>0</v>
      </c>
      <c r="I68" s="501">
        <f t="shared" si="13"/>
        <v>0</v>
      </c>
      <c r="J68" s="501"/>
      <c r="K68" s="513"/>
      <c r="L68" s="505">
        <f t="shared" si="14"/>
        <v>0</v>
      </c>
      <c r="M68" s="513"/>
      <c r="N68" s="505">
        <f t="shared" si="15"/>
        <v>0</v>
      </c>
      <c r="O68" s="505">
        <f t="shared" si="16"/>
        <v>0</v>
      </c>
      <c r="P68" s="279"/>
      <c r="R68" s="244"/>
      <c r="S68" s="244"/>
      <c r="T68" s="244"/>
      <c r="U68" s="244"/>
    </row>
    <row r="69" spans="1:21" ht="12.5">
      <c r="B69" s="145" t="str">
        <f t="shared" si="6"/>
        <v/>
      </c>
      <c r="C69" s="496">
        <f>IF(D11="","-",+C68+1)</f>
        <v>2062</v>
      </c>
      <c r="D69" s="509">
        <f>IF(F68+SUM(E$17:E68)=D$10,F68,D$10-SUM(E$17:E68))</f>
        <v>0</v>
      </c>
      <c r="E69" s="510">
        <f>IF(+I14&lt;F68,I14,D69)</f>
        <v>0</v>
      </c>
      <c r="F69" s="511">
        <f t="shared" si="12"/>
        <v>0</v>
      </c>
      <c r="G69" s="524">
        <f t="shared" si="10"/>
        <v>0</v>
      </c>
      <c r="H69" s="478">
        <f t="shared" si="11"/>
        <v>0</v>
      </c>
      <c r="I69" s="501">
        <f t="shared" si="13"/>
        <v>0</v>
      </c>
      <c r="J69" s="501"/>
      <c r="K69" s="513"/>
      <c r="L69" s="505">
        <f t="shared" si="14"/>
        <v>0</v>
      </c>
      <c r="M69" s="513"/>
      <c r="N69" s="505">
        <f t="shared" si="15"/>
        <v>0</v>
      </c>
      <c r="O69" s="505">
        <f t="shared" si="16"/>
        <v>0</v>
      </c>
      <c r="P69" s="279"/>
      <c r="R69" s="244"/>
      <c r="S69" s="244"/>
      <c r="T69" s="244"/>
      <c r="U69" s="244"/>
    </row>
    <row r="70" spans="1:21" ht="12.5">
      <c r="B70" s="145" t="str">
        <f t="shared" si="6"/>
        <v/>
      </c>
      <c r="C70" s="496">
        <f>IF(D11="","-",+C69+1)</f>
        <v>2063</v>
      </c>
      <c r="D70" s="509">
        <f>IF(F69+SUM(E$17:E69)=D$10,F69,D$10-SUM(E$17:E69))</f>
        <v>0</v>
      </c>
      <c r="E70" s="510">
        <f>IF(+I14&lt;F69,I14,D70)</f>
        <v>0</v>
      </c>
      <c r="F70" s="511">
        <f t="shared" si="12"/>
        <v>0</v>
      </c>
      <c r="G70" s="524">
        <f t="shared" si="10"/>
        <v>0</v>
      </c>
      <c r="H70" s="478">
        <f t="shared" si="11"/>
        <v>0</v>
      </c>
      <c r="I70" s="501">
        <f t="shared" si="13"/>
        <v>0</v>
      </c>
      <c r="J70" s="501"/>
      <c r="K70" s="513"/>
      <c r="L70" s="505">
        <f t="shared" si="14"/>
        <v>0</v>
      </c>
      <c r="M70" s="513"/>
      <c r="N70" s="505">
        <f t="shared" si="15"/>
        <v>0</v>
      </c>
      <c r="O70" s="505">
        <f t="shared" si="16"/>
        <v>0</v>
      </c>
      <c r="P70" s="279"/>
      <c r="R70" s="244"/>
      <c r="S70" s="244"/>
      <c r="T70" s="244"/>
      <c r="U70" s="244"/>
    </row>
    <row r="71" spans="1:21" ht="12.5">
      <c r="B71" s="145" t="str">
        <f t="shared" si="6"/>
        <v/>
      </c>
      <c r="C71" s="496">
        <f>IF(D11="","-",+C70+1)</f>
        <v>2064</v>
      </c>
      <c r="D71" s="509">
        <f>IF(F70+SUM(E$17:E70)=D$10,F70,D$10-SUM(E$17:E70))</f>
        <v>0</v>
      </c>
      <c r="E71" s="510">
        <f>IF(+I14&lt;F70,I14,D71)</f>
        <v>0</v>
      </c>
      <c r="F71" s="511">
        <f t="shared" si="12"/>
        <v>0</v>
      </c>
      <c r="G71" s="524">
        <f t="shared" si="10"/>
        <v>0</v>
      </c>
      <c r="H71" s="478">
        <f t="shared" si="11"/>
        <v>0</v>
      </c>
      <c r="I71" s="501">
        <f t="shared" si="13"/>
        <v>0</v>
      </c>
      <c r="J71" s="501"/>
      <c r="K71" s="513"/>
      <c r="L71" s="505">
        <f t="shared" si="14"/>
        <v>0</v>
      </c>
      <c r="M71" s="513"/>
      <c r="N71" s="505">
        <f t="shared" si="15"/>
        <v>0</v>
      </c>
      <c r="O71" s="505">
        <f t="shared" si="16"/>
        <v>0</v>
      </c>
      <c r="P71" s="279"/>
      <c r="R71" s="244"/>
      <c r="S71" s="244"/>
      <c r="T71" s="244"/>
      <c r="U71" s="244"/>
    </row>
    <row r="72" spans="1:21" ht="12.5">
      <c r="B72" s="145" t="str">
        <f t="shared" si="6"/>
        <v/>
      </c>
      <c r="C72" s="496">
        <f>IF(D11="","-",+C71+1)</f>
        <v>2065</v>
      </c>
      <c r="D72" s="509">
        <f>IF(F71+SUM(E$17:E71)=D$10,F71,D$10-SUM(E$17:E71))</f>
        <v>0</v>
      </c>
      <c r="E72" s="510">
        <f>IF(+I14&lt;F71,I14,D72)</f>
        <v>0</v>
      </c>
      <c r="F72" s="511">
        <f t="shared" si="12"/>
        <v>0</v>
      </c>
      <c r="G72" s="524">
        <f t="shared" si="10"/>
        <v>0</v>
      </c>
      <c r="H72" s="478">
        <f t="shared" si="11"/>
        <v>0</v>
      </c>
      <c r="I72" s="501">
        <f t="shared" si="13"/>
        <v>0</v>
      </c>
      <c r="J72" s="501"/>
      <c r="K72" s="513"/>
      <c r="L72" s="505">
        <f t="shared" si="14"/>
        <v>0</v>
      </c>
      <c r="M72" s="513"/>
      <c r="N72" s="505">
        <f t="shared" si="15"/>
        <v>0</v>
      </c>
      <c r="O72" s="505">
        <f t="shared" si="16"/>
        <v>0</v>
      </c>
      <c r="P72" s="279"/>
      <c r="R72" s="244"/>
      <c r="S72" s="244"/>
      <c r="T72" s="244"/>
      <c r="U72" s="244"/>
    </row>
    <row r="73" spans="1:21" ht="13" thickBot="1">
      <c r="B73" s="145" t="str">
        <f t="shared" si="6"/>
        <v/>
      </c>
      <c r="C73" s="525">
        <f>IF(D11="","-",+C72+1)</f>
        <v>2066</v>
      </c>
      <c r="D73" s="526">
        <f>IF(F72+SUM(E$17:E72)=D$10,F72,D$10-SUM(E$17:E72))</f>
        <v>0</v>
      </c>
      <c r="E73" s="527">
        <f>IF(+I14&lt;F72,I14,D73)</f>
        <v>0</v>
      </c>
      <c r="F73" s="528">
        <f t="shared" si="12"/>
        <v>0</v>
      </c>
      <c r="G73" s="529">
        <f t="shared" si="10"/>
        <v>0</v>
      </c>
      <c r="H73" s="459">
        <f t="shared" si="11"/>
        <v>0</v>
      </c>
      <c r="I73" s="530">
        <f t="shared" si="13"/>
        <v>0</v>
      </c>
      <c r="J73" s="501"/>
      <c r="K73" s="531"/>
      <c r="L73" s="532">
        <f t="shared" si="14"/>
        <v>0</v>
      </c>
      <c r="M73" s="531"/>
      <c r="N73" s="532">
        <f t="shared" si="15"/>
        <v>0</v>
      </c>
      <c r="O73" s="532">
        <f t="shared" si="16"/>
        <v>0</v>
      </c>
      <c r="P73" s="279"/>
      <c r="R73" s="244"/>
      <c r="S73" s="244"/>
      <c r="T73" s="244"/>
      <c r="U73" s="244"/>
    </row>
    <row r="74" spans="1:21" ht="12.5">
      <c r="C74" s="350" t="s">
        <v>75</v>
      </c>
      <c r="D74" s="295"/>
      <c r="E74" s="295">
        <f>SUM(E17:E73)</f>
        <v>723817.99999999965</v>
      </c>
      <c r="F74" s="295"/>
      <c r="G74" s="295">
        <f>SUM(G17:G73)</f>
        <v>2650138.765023916</v>
      </c>
      <c r="H74" s="295">
        <f>SUM(H17:H73)</f>
        <v>2650138.765023916</v>
      </c>
      <c r="I74" s="295">
        <f>SUM(I17:I73)</f>
        <v>0</v>
      </c>
      <c r="J74" s="295"/>
      <c r="K74" s="295"/>
      <c r="L74" s="295"/>
      <c r="M74" s="295"/>
      <c r="N74" s="295"/>
      <c r="O74" s="279"/>
      <c r="P74" s="279"/>
      <c r="R74" s="244"/>
      <c r="S74" s="244"/>
      <c r="T74" s="244"/>
      <c r="U74" s="244"/>
    </row>
    <row r="75" spans="1:21" ht="12.5">
      <c r="D75" s="293"/>
      <c r="E75" s="244"/>
      <c r="F75" s="244"/>
      <c r="G75" s="244"/>
      <c r="H75" s="326"/>
      <c r="I75" s="326"/>
      <c r="J75" s="295"/>
      <c r="K75" s="326"/>
      <c r="L75" s="326"/>
      <c r="M75" s="326"/>
      <c r="N75" s="326"/>
      <c r="O75" s="244"/>
      <c r="P75" s="244"/>
      <c r="R75" s="244"/>
      <c r="S75" s="244"/>
      <c r="T75" s="244"/>
      <c r="U75" s="244"/>
    </row>
    <row r="76" spans="1:21" ht="13">
      <c r="C76" s="533" t="s">
        <v>95</v>
      </c>
      <c r="D76" s="293"/>
      <c r="E76" s="244"/>
      <c r="F76" s="244"/>
      <c r="G76" s="244"/>
      <c r="H76" s="326"/>
      <c r="I76" s="326"/>
      <c r="J76" s="295"/>
      <c r="K76" s="326"/>
      <c r="L76" s="326"/>
      <c r="M76" s="326"/>
      <c r="N76" s="326"/>
      <c r="O76" s="244"/>
      <c r="P76" s="244"/>
      <c r="R76" s="244"/>
      <c r="S76" s="244"/>
      <c r="T76" s="244"/>
      <c r="U76" s="244"/>
    </row>
    <row r="77" spans="1:21" ht="13">
      <c r="C77" s="455" t="s">
        <v>76</v>
      </c>
      <c r="D77" s="293"/>
      <c r="E77" s="244"/>
      <c r="F77" s="244"/>
      <c r="G77" s="244"/>
      <c r="H77" s="326"/>
      <c r="I77" s="326"/>
      <c r="J77" s="295"/>
      <c r="K77" s="326"/>
      <c r="L77" s="326"/>
      <c r="M77" s="326"/>
      <c r="N77" s="326"/>
      <c r="O77" s="279"/>
      <c r="P77" s="279"/>
      <c r="R77" s="244"/>
      <c r="S77" s="244"/>
      <c r="T77" s="244"/>
      <c r="U77" s="244"/>
    </row>
    <row r="78" spans="1:21" ht="17.5">
      <c r="C78" s="455" t="s">
        <v>77</v>
      </c>
      <c r="D78" s="350"/>
      <c r="E78" s="350"/>
      <c r="F78" s="350"/>
      <c r="G78" s="295"/>
      <c r="H78" s="295"/>
      <c r="I78" s="351"/>
      <c r="J78" s="351"/>
      <c r="K78" s="351"/>
      <c r="L78" s="351"/>
      <c r="M78" s="351"/>
      <c r="N78" s="351"/>
      <c r="O78" s="534"/>
      <c r="P78" s="279"/>
      <c r="R78" s="244"/>
      <c r="S78" s="244"/>
      <c r="T78" s="244"/>
      <c r="U78" s="244"/>
    </row>
    <row r="79" spans="1:21" ht="13">
      <c r="C79" s="455"/>
      <c r="D79" s="350"/>
      <c r="E79" s="350"/>
      <c r="F79" s="350"/>
      <c r="G79" s="295"/>
      <c r="H79" s="295"/>
      <c r="I79" s="351"/>
      <c r="J79" s="351"/>
      <c r="K79" s="351"/>
      <c r="L79" s="351"/>
      <c r="M79" s="351"/>
      <c r="N79" s="351"/>
      <c r="O79" s="279"/>
      <c r="P79" s="244"/>
      <c r="R79" s="244"/>
      <c r="S79" s="244"/>
      <c r="T79" s="244"/>
      <c r="U79" s="244"/>
    </row>
    <row r="80" spans="1:21" ht="15.5">
      <c r="A80" s="535"/>
      <c r="B80" s="244"/>
      <c r="C80" s="249"/>
      <c r="D80" s="293"/>
      <c r="E80" s="244"/>
      <c r="F80" s="348"/>
      <c r="G80" s="244"/>
      <c r="H80" s="326"/>
      <c r="I80" s="244"/>
      <c r="J80" s="279"/>
      <c r="K80" s="244"/>
      <c r="L80" s="244"/>
      <c r="M80" s="244"/>
      <c r="N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536"/>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534" t="str">
        <f ca="1">P1</f>
        <v>OKT Project 1 of 19</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2019</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84379.319531027868</v>
      </c>
      <c r="N88" s="545">
        <f>IF(J93&lt;D11,0,VLOOKUP(J93,C17:O73,11))</f>
        <v>84379.319531027868</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86281.205012066392</v>
      </c>
      <c r="N89" s="549">
        <f>IF(J93&lt;D11,0,VLOOKUP(J93,C100:P155,7))</f>
        <v>86281.205012066392</v>
      </c>
      <c r="O89" s="550">
        <f>+N89-M89</f>
        <v>0</v>
      </c>
      <c r="P89" s="244"/>
      <c r="Q89" s="244"/>
      <c r="R89" s="244"/>
      <c r="S89" s="244"/>
      <c r="T89" s="244"/>
      <c r="U89" s="244"/>
    </row>
    <row r="90" spans="1:21" ht="13.5" thickBot="1">
      <c r="C90" s="455" t="s">
        <v>82</v>
      </c>
      <c r="D90" s="551" t="str">
        <f>+D7</f>
        <v>Snyder 138 kV Terminal Addition</v>
      </c>
      <c r="E90" s="244"/>
      <c r="F90" s="244"/>
      <c r="G90" s="244"/>
      <c r="H90" s="244"/>
      <c r="I90" s="326"/>
      <c r="J90" s="326"/>
      <c r="K90" s="552"/>
      <c r="L90" s="553" t="s">
        <v>135</v>
      </c>
      <c r="M90" s="554">
        <f>+M89-M88</f>
        <v>1901.8854810385237</v>
      </c>
      <c r="N90" s="554">
        <f>+N89-N88</f>
        <v>1901.8854810385237</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TP2009013</v>
      </c>
      <c r="E92" s="559"/>
      <c r="F92" s="559"/>
      <c r="G92" s="559"/>
      <c r="H92" s="559"/>
      <c r="I92" s="559"/>
      <c r="J92" s="560"/>
      <c r="K92" s="561"/>
      <c r="P92" s="469"/>
      <c r="Q92" s="244"/>
      <c r="R92" s="244"/>
      <c r="S92" s="244"/>
      <c r="T92" s="244"/>
      <c r="U92" s="244"/>
    </row>
    <row r="93" spans="1:21" ht="13">
      <c r="C93" s="473" t="s">
        <v>49</v>
      </c>
      <c r="D93" s="471">
        <f>IF(D11=I10,0,D10)</f>
        <v>723818</v>
      </c>
      <c r="E93" s="249" t="s">
        <v>84</v>
      </c>
      <c r="H93" s="409"/>
      <c r="I93" s="409"/>
      <c r="J93" s="472">
        <f>+'OKT.WS.G.BPU.ATRR.True-up'!M16</f>
        <v>2019</v>
      </c>
      <c r="K93" s="468"/>
      <c r="L93" s="295" t="s">
        <v>85</v>
      </c>
      <c r="P93" s="279"/>
      <c r="Q93" s="244"/>
      <c r="R93" s="244"/>
      <c r="S93" s="244"/>
      <c r="T93" s="244"/>
      <c r="U93" s="244"/>
    </row>
    <row r="94" spans="1:21" ht="12.5">
      <c r="C94" s="473" t="s">
        <v>52</v>
      </c>
      <c r="D94" s="562">
        <f>D11</f>
        <v>2010</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62">
        <f>D12</f>
        <v>12</v>
      </c>
      <c r="E95" s="473" t="s">
        <v>55</v>
      </c>
      <c r="F95" s="409"/>
      <c r="G95" s="409"/>
      <c r="J95" s="477">
        <f>'OKT.WS.G.BPU.ATRR.True-up'!$F$81</f>
        <v>0.10800922592579221</v>
      </c>
      <c r="K95" s="414"/>
      <c r="L95" s="145" t="s">
        <v>86</v>
      </c>
      <c r="P95" s="279"/>
      <c r="Q95" s="244"/>
      <c r="R95" s="244"/>
      <c r="S95" s="244"/>
      <c r="T95" s="244"/>
      <c r="U95" s="244"/>
    </row>
    <row r="96" spans="1:21" ht="12.5">
      <c r="C96" s="473" t="s">
        <v>57</v>
      </c>
      <c r="D96" s="475">
        <f>'OKT.WS.G.BPU.ATRR.True-up'!F$93</f>
        <v>33</v>
      </c>
      <c r="E96" s="473" t="s">
        <v>58</v>
      </c>
      <c r="F96" s="409"/>
      <c r="G96" s="409"/>
      <c r="J96" s="477">
        <f>IF(H88="",J95,'OKT.WS.G.BPU.ATRR.True-up'!$F$80)</f>
        <v>0.10800922592579221</v>
      </c>
      <c r="K96" s="292"/>
      <c r="L96" s="295" t="s">
        <v>59</v>
      </c>
      <c r="M96" s="292"/>
      <c r="N96" s="292"/>
      <c r="O96" s="292"/>
      <c r="P96" s="279"/>
      <c r="Q96" s="244"/>
      <c r="R96" s="244"/>
      <c r="S96" s="244"/>
      <c r="T96" s="244"/>
      <c r="U96" s="244"/>
    </row>
    <row r="97" spans="1:21" ht="13" thickBot="1">
      <c r="C97" s="473" t="s">
        <v>60</v>
      </c>
      <c r="D97" s="563">
        <f>+D14</f>
        <v>0</v>
      </c>
      <c r="E97" s="564" t="s">
        <v>62</v>
      </c>
      <c r="F97" s="565"/>
      <c r="G97" s="565"/>
      <c r="H97" s="566"/>
      <c r="I97" s="566"/>
      <c r="J97" s="459">
        <f>IF(D93=0,0,D93/D96)</f>
        <v>21933.878787878788</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B100" s="145" t="str">
        <f>IF(D100=F99,"","IU")</f>
        <v>IU</v>
      </c>
      <c r="C100" s="496">
        <f>IF(D94= "","-",D94)</f>
        <v>2010</v>
      </c>
      <c r="D100" s="497">
        <v>0</v>
      </c>
      <c r="E100" s="499">
        <v>0</v>
      </c>
      <c r="F100" s="506">
        <v>634790</v>
      </c>
      <c r="G100" s="572">
        <v>317395</v>
      </c>
      <c r="H100" s="572">
        <v>107896.39563165967</v>
      </c>
      <c r="I100" s="572">
        <v>107896.39563165967</v>
      </c>
      <c r="J100" s="505">
        <f t="shared" ref="J100:J131" si="17">+I100-H100</f>
        <v>0</v>
      </c>
      <c r="K100" s="505"/>
      <c r="L100" s="507">
        <f t="shared" ref="L100:L105" si="18">H100</f>
        <v>107896.39563165967</v>
      </c>
      <c r="M100" s="508">
        <f>IF(L100&lt;&gt;0,+H100-L100,0)</f>
        <v>0</v>
      </c>
      <c r="N100" s="507">
        <f t="shared" ref="N100:N105" si="19">I100</f>
        <v>107896.39563165967</v>
      </c>
      <c r="O100" s="504">
        <f t="shared" ref="O100:O131" si="20">IF(N100&lt;&gt;0,+I100-N100,0)</f>
        <v>0</v>
      </c>
      <c r="P100" s="504">
        <f t="shared" ref="P100:P131" si="21">+O100-M100</f>
        <v>0</v>
      </c>
      <c r="Q100" s="244"/>
      <c r="R100" s="244"/>
      <c r="S100" s="244"/>
      <c r="T100" s="244"/>
      <c r="U100" s="244"/>
    </row>
    <row r="101" spans="1:21" ht="12.5">
      <c r="B101" s="145" t="str">
        <f t="shared" ref="B101:B155" si="22">IF(D101=F100,"","IU")</f>
        <v/>
      </c>
      <c r="C101" s="496">
        <f>IF(D94="","-",+C100+1)</f>
        <v>2011</v>
      </c>
      <c r="D101" s="497">
        <v>634790</v>
      </c>
      <c r="E101" s="499">
        <v>12180.958103448274</v>
      </c>
      <c r="F101" s="506">
        <v>622609.04189655173</v>
      </c>
      <c r="G101" s="506">
        <v>628699.52094827592</v>
      </c>
      <c r="H101" s="499">
        <v>58926.291922257748</v>
      </c>
      <c r="I101" s="500">
        <v>58926.291922257748</v>
      </c>
      <c r="J101" s="505">
        <v>0</v>
      </c>
      <c r="K101" s="505"/>
      <c r="L101" s="507">
        <f t="shared" si="18"/>
        <v>58926.291922257748</v>
      </c>
      <c r="M101" s="505">
        <f t="shared" ref="M101:M131" si="23">IF(L101&lt;&gt;0,+H101-L101,0)</f>
        <v>0</v>
      </c>
      <c r="N101" s="507">
        <f t="shared" si="19"/>
        <v>58926.291922257748</v>
      </c>
      <c r="O101" s="505">
        <f t="shared" si="20"/>
        <v>0</v>
      </c>
      <c r="P101" s="505">
        <f t="shared" si="21"/>
        <v>0</v>
      </c>
      <c r="Q101" s="244"/>
      <c r="R101" s="244"/>
      <c r="S101" s="244"/>
      <c r="T101" s="244"/>
      <c r="U101" s="244"/>
    </row>
    <row r="102" spans="1:21" ht="12.5">
      <c r="B102" s="145" t="str">
        <f t="shared" si="22"/>
        <v>IU</v>
      </c>
      <c r="C102" s="496">
        <f>IF(D94="","-",+C101+1)</f>
        <v>2012</v>
      </c>
      <c r="D102" s="497">
        <v>711637.04189655173</v>
      </c>
      <c r="E102" s="499">
        <v>12479.620689655172</v>
      </c>
      <c r="F102" s="506">
        <v>699157.42120689654</v>
      </c>
      <c r="G102" s="506">
        <v>705397.23155172414</v>
      </c>
      <c r="H102" s="499">
        <v>83971.238209738236</v>
      </c>
      <c r="I102" s="500">
        <v>83971.238209738236</v>
      </c>
      <c r="J102" s="505">
        <v>0</v>
      </c>
      <c r="K102" s="505"/>
      <c r="L102" s="507">
        <f t="shared" si="18"/>
        <v>83971.238209738236</v>
      </c>
      <c r="M102" s="505">
        <f t="shared" ref="M102:M107" si="24">IF(L102&lt;&gt;0,+H102-L102,0)</f>
        <v>0</v>
      </c>
      <c r="N102" s="507">
        <f t="shared" si="19"/>
        <v>83971.238209738236</v>
      </c>
      <c r="O102" s="505">
        <f>IF(N102&lt;&gt;0,+I102-N102,0)</f>
        <v>0</v>
      </c>
      <c r="P102" s="505">
        <f>+O102-M102</f>
        <v>0</v>
      </c>
      <c r="Q102" s="244"/>
      <c r="R102" s="244"/>
      <c r="S102" s="244"/>
      <c r="T102" s="244"/>
      <c r="U102" s="244"/>
    </row>
    <row r="103" spans="1:21" ht="12.5">
      <c r="B103" s="145" t="str">
        <f t="shared" si="22"/>
        <v/>
      </c>
      <c r="C103" s="496">
        <f>IF(D94="","-",+C102+1)</f>
        <v>2013</v>
      </c>
      <c r="D103" s="497">
        <v>699157.42120689654</v>
      </c>
      <c r="E103" s="499">
        <v>12479.620689655172</v>
      </c>
      <c r="F103" s="506">
        <v>686677.80051724135</v>
      </c>
      <c r="G103" s="506">
        <v>692917.61086206895</v>
      </c>
      <c r="H103" s="499">
        <v>91236.605288625666</v>
      </c>
      <c r="I103" s="500">
        <v>91236.605288625666</v>
      </c>
      <c r="J103" s="505">
        <v>0</v>
      </c>
      <c r="K103" s="505"/>
      <c r="L103" s="507">
        <f t="shared" si="18"/>
        <v>91236.605288625666</v>
      </c>
      <c r="M103" s="505">
        <f t="shared" si="24"/>
        <v>0</v>
      </c>
      <c r="N103" s="507">
        <f t="shared" si="19"/>
        <v>91236.605288625666</v>
      </c>
      <c r="O103" s="505">
        <f>IF(N103&lt;&gt;0,+I103-N103,0)</f>
        <v>0</v>
      </c>
      <c r="P103" s="505">
        <f>+O103-M103</f>
        <v>0</v>
      </c>
      <c r="Q103" s="244"/>
      <c r="R103" s="244"/>
      <c r="S103" s="244"/>
      <c r="T103" s="244"/>
      <c r="U103" s="244"/>
    </row>
    <row r="104" spans="1:21" ht="12.5">
      <c r="B104" s="145" t="str">
        <f t="shared" si="22"/>
        <v/>
      </c>
      <c r="C104" s="496">
        <f>IF(D94="","-",+C103+1)</f>
        <v>2014</v>
      </c>
      <c r="D104" s="497">
        <v>686677.80051724135</v>
      </c>
      <c r="E104" s="499">
        <v>12479.620689655172</v>
      </c>
      <c r="F104" s="506">
        <v>674198.17982758617</v>
      </c>
      <c r="G104" s="506">
        <v>680437.99017241376</v>
      </c>
      <c r="H104" s="499">
        <v>85656.254524456934</v>
      </c>
      <c r="I104" s="500">
        <v>85656.254524456934</v>
      </c>
      <c r="J104" s="505">
        <v>0</v>
      </c>
      <c r="K104" s="505"/>
      <c r="L104" s="507">
        <f t="shared" si="18"/>
        <v>85656.254524456934</v>
      </c>
      <c r="M104" s="505">
        <f t="shared" si="24"/>
        <v>0</v>
      </c>
      <c r="N104" s="507">
        <f t="shared" si="19"/>
        <v>85656.254524456934</v>
      </c>
      <c r="O104" s="505">
        <f>IF(N104&lt;&gt;0,+I104-N104,0)</f>
        <v>0</v>
      </c>
      <c r="P104" s="505">
        <f>+O104-M104</f>
        <v>0</v>
      </c>
      <c r="Q104" s="244"/>
      <c r="R104" s="244"/>
      <c r="S104" s="244"/>
      <c r="T104" s="244"/>
      <c r="U104" s="244"/>
    </row>
    <row r="105" spans="1:21" ht="12.5">
      <c r="B105" s="145" t="str">
        <f t="shared" si="22"/>
        <v/>
      </c>
      <c r="C105" s="496">
        <f>IF(D94="","-",+C104+1)</f>
        <v>2015</v>
      </c>
      <c r="D105" s="497">
        <v>674198.17982758617</v>
      </c>
      <c r="E105" s="499">
        <v>15079.541666666666</v>
      </c>
      <c r="F105" s="506">
        <v>659118.63816091954</v>
      </c>
      <c r="G105" s="506">
        <v>666658.40899425279</v>
      </c>
      <c r="H105" s="499">
        <v>89298.24140660846</v>
      </c>
      <c r="I105" s="500">
        <v>89298.24140660846</v>
      </c>
      <c r="J105" s="505">
        <f t="shared" si="17"/>
        <v>0</v>
      </c>
      <c r="K105" s="505"/>
      <c r="L105" s="507">
        <f t="shared" si="18"/>
        <v>89298.24140660846</v>
      </c>
      <c r="M105" s="505">
        <f t="shared" si="24"/>
        <v>0</v>
      </c>
      <c r="N105" s="507">
        <f t="shared" si="19"/>
        <v>89298.24140660846</v>
      </c>
      <c r="O105" s="505">
        <f t="shared" si="20"/>
        <v>0</v>
      </c>
      <c r="P105" s="505">
        <f t="shared" si="21"/>
        <v>0</v>
      </c>
      <c r="Q105" s="244"/>
      <c r="R105" s="244"/>
      <c r="S105" s="244"/>
      <c r="T105" s="244"/>
      <c r="U105" s="244"/>
    </row>
    <row r="106" spans="1:21" ht="12.5">
      <c r="B106" s="145" t="str">
        <f t="shared" si="22"/>
        <v/>
      </c>
      <c r="C106" s="496">
        <f>IF(D94="","-",+C105+1)</f>
        <v>2016</v>
      </c>
      <c r="D106" s="497">
        <v>659118.63816091954</v>
      </c>
      <c r="E106" s="499">
        <v>14192.509803921568</v>
      </c>
      <c r="F106" s="506">
        <v>644926.12835699797</v>
      </c>
      <c r="G106" s="506">
        <v>652022.38325895881</v>
      </c>
      <c r="H106" s="499">
        <v>84851.823004071382</v>
      </c>
      <c r="I106" s="500">
        <v>84851.823004071382</v>
      </c>
      <c r="J106" s="505">
        <f t="shared" si="17"/>
        <v>0</v>
      </c>
      <c r="K106" s="505"/>
      <c r="L106" s="507">
        <f>H106</f>
        <v>84851.823004071382</v>
      </c>
      <c r="M106" s="505">
        <f t="shared" si="24"/>
        <v>0</v>
      </c>
      <c r="N106" s="507">
        <f>I106</f>
        <v>84851.823004071382</v>
      </c>
      <c r="O106" s="505">
        <f>IF(N106&lt;&gt;0,+I106-N106,0)</f>
        <v>0</v>
      </c>
      <c r="P106" s="505">
        <f>+O106-M106</f>
        <v>0</v>
      </c>
      <c r="Q106" s="244"/>
      <c r="R106" s="244"/>
      <c r="S106" s="244"/>
      <c r="T106" s="244"/>
      <c r="U106" s="244"/>
    </row>
    <row r="107" spans="1:21" ht="12.5">
      <c r="B107" s="145" t="str">
        <f t="shared" si="22"/>
        <v/>
      </c>
      <c r="C107" s="496">
        <f>IF(D94="","-",+C106+1)</f>
        <v>2017</v>
      </c>
      <c r="D107" s="497">
        <v>644926.12835699797</v>
      </c>
      <c r="E107" s="499">
        <v>18095.45</v>
      </c>
      <c r="F107" s="506">
        <v>626830.67835699802</v>
      </c>
      <c r="G107" s="506">
        <v>635878.40335699799</v>
      </c>
      <c r="H107" s="499">
        <v>92706.791991345061</v>
      </c>
      <c r="I107" s="500">
        <v>92706.791991345061</v>
      </c>
      <c r="J107" s="505">
        <f t="shared" si="17"/>
        <v>0</v>
      </c>
      <c r="K107" s="505"/>
      <c r="L107" s="507">
        <f>H107</f>
        <v>92706.791991345061</v>
      </c>
      <c r="M107" s="505">
        <f t="shared" si="24"/>
        <v>0</v>
      </c>
      <c r="N107" s="507">
        <f>I107</f>
        <v>92706.791991345061</v>
      </c>
      <c r="O107" s="505">
        <f>IF(N107&lt;&gt;0,+I107-N107,0)</f>
        <v>0</v>
      </c>
      <c r="P107" s="505">
        <f>+O107-M107</f>
        <v>0</v>
      </c>
      <c r="Q107" s="244"/>
      <c r="R107" s="244"/>
      <c r="S107" s="244"/>
      <c r="T107" s="244"/>
      <c r="U107" s="244"/>
    </row>
    <row r="108" spans="1:21" ht="12.5">
      <c r="B108" s="145" t="str">
        <f t="shared" si="22"/>
        <v/>
      </c>
      <c r="C108" s="496">
        <f>IF(D94="","-",+C107+1)</f>
        <v>2018</v>
      </c>
      <c r="D108" s="497">
        <v>626830.67835699802</v>
      </c>
      <c r="E108" s="499">
        <v>20106.055555555555</v>
      </c>
      <c r="F108" s="506">
        <v>606724.62280144251</v>
      </c>
      <c r="G108" s="506">
        <v>616777.65057922027</v>
      </c>
      <c r="H108" s="499">
        <v>85214.614900276356</v>
      </c>
      <c r="I108" s="500">
        <v>85214.614900276356</v>
      </c>
      <c r="J108" s="505">
        <f t="shared" si="17"/>
        <v>0</v>
      </c>
      <c r="K108" s="505"/>
      <c r="L108" s="507">
        <f>H108</f>
        <v>85214.614900276356</v>
      </c>
      <c r="M108" s="505">
        <f t="shared" ref="M108" si="25">IF(L108&lt;&gt;0,+H108-L108,0)</f>
        <v>0</v>
      </c>
      <c r="N108" s="507">
        <f>I108</f>
        <v>85214.614900276356</v>
      </c>
      <c r="O108" s="505">
        <f>IF(N108&lt;&gt;0,+I108-N108,0)</f>
        <v>0</v>
      </c>
      <c r="P108" s="505">
        <f>+O108-M108</f>
        <v>0</v>
      </c>
      <c r="Q108" s="244"/>
      <c r="R108" s="244"/>
      <c r="S108" s="244"/>
      <c r="T108" s="244"/>
      <c r="U108" s="244"/>
    </row>
    <row r="109" spans="1:21" ht="12.5">
      <c r="B109" s="145" t="str">
        <f t="shared" si="22"/>
        <v/>
      </c>
      <c r="C109" s="496">
        <f>IF(D94="","-",+C108+1)</f>
        <v>2019</v>
      </c>
      <c r="D109" s="350">
        <f>IF(F108+SUM(E$100:E108)=D$93,F108,D$93-SUM(E$100:E108))</f>
        <v>606724.62280144251</v>
      </c>
      <c r="E109" s="510">
        <f>IF(+J97&lt;F108,J97,D109)</f>
        <v>21933.878787878788</v>
      </c>
      <c r="F109" s="511">
        <f t="shared" ref="F109:F131" si="26">+D109-E109</f>
        <v>584790.74401356373</v>
      </c>
      <c r="G109" s="511">
        <f t="shared" ref="G109:G131" si="27">+(F109+D109)/2</f>
        <v>595757.68340750318</v>
      </c>
      <c r="H109" s="524">
        <f t="shared" ref="H109:H132" si="28">+J$95*G109+E109</f>
        <v>86281.205012066392</v>
      </c>
      <c r="I109" s="573">
        <f t="shared" ref="I109:I132" si="29">+J$96*G109+E109</f>
        <v>86281.205012066392</v>
      </c>
      <c r="J109" s="505">
        <f t="shared" si="17"/>
        <v>0</v>
      </c>
      <c r="K109" s="505"/>
      <c r="L109" s="513"/>
      <c r="M109" s="505">
        <f t="shared" si="23"/>
        <v>0</v>
      </c>
      <c r="N109" s="513"/>
      <c r="O109" s="505">
        <f t="shared" si="20"/>
        <v>0</v>
      </c>
      <c r="P109" s="505">
        <f t="shared" si="21"/>
        <v>0</v>
      </c>
      <c r="Q109" s="244"/>
      <c r="R109" s="244"/>
      <c r="S109" s="244"/>
      <c r="T109" s="244"/>
      <c r="U109" s="244"/>
    </row>
    <row r="110" spans="1:21" ht="12.5">
      <c r="B110" s="145" t="str">
        <f t="shared" si="22"/>
        <v/>
      </c>
      <c r="C110" s="496">
        <f>IF(D94="","-",+C109+1)</f>
        <v>2020</v>
      </c>
      <c r="D110" s="350">
        <f>IF(F109+SUM(E$100:E109)=D$93,F109,D$93-SUM(E$100:E109))</f>
        <v>584790.74401356373</v>
      </c>
      <c r="E110" s="510">
        <f>IF(+J97&lt;F109,J97,D110)</f>
        <v>21933.878787878788</v>
      </c>
      <c r="F110" s="511">
        <f t="shared" si="26"/>
        <v>562856.86522568495</v>
      </c>
      <c r="G110" s="511">
        <f t="shared" si="27"/>
        <v>573823.80461962428</v>
      </c>
      <c r="H110" s="524">
        <f t="shared" si="28"/>
        <v>83912.143742637432</v>
      </c>
      <c r="I110" s="573">
        <f t="shared" si="29"/>
        <v>83912.143742637432</v>
      </c>
      <c r="J110" s="505">
        <f t="shared" si="17"/>
        <v>0</v>
      </c>
      <c r="K110" s="505"/>
      <c r="L110" s="513"/>
      <c r="M110" s="505">
        <f t="shared" si="23"/>
        <v>0</v>
      </c>
      <c r="N110" s="513"/>
      <c r="O110" s="505">
        <f t="shared" si="20"/>
        <v>0</v>
      </c>
      <c r="P110" s="505">
        <f t="shared" si="21"/>
        <v>0</v>
      </c>
      <c r="Q110" s="244"/>
      <c r="R110" s="244"/>
      <c r="S110" s="244"/>
      <c r="T110" s="244"/>
      <c r="U110" s="244"/>
    </row>
    <row r="111" spans="1:21" ht="12.5">
      <c r="B111" s="145" t="str">
        <f t="shared" si="22"/>
        <v/>
      </c>
      <c r="C111" s="496">
        <f>IF(D94="","-",+C110+1)</f>
        <v>2021</v>
      </c>
      <c r="D111" s="350">
        <f>IF(F110+SUM(E$100:E110)=D$93,F110,D$93-SUM(E$100:E110))</f>
        <v>562856.86522568495</v>
      </c>
      <c r="E111" s="510">
        <f>IF(+J97&lt;F110,J97,D111)</f>
        <v>21933.878787878788</v>
      </c>
      <c r="F111" s="511">
        <f t="shared" si="26"/>
        <v>540922.98643780616</v>
      </c>
      <c r="G111" s="511">
        <f t="shared" si="27"/>
        <v>551889.92583174561</v>
      </c>
      <c r="H111" s="524">
        <f t="shared" si="28"/>
        <v>81543.082473208502</v>
      </c>
      <c r="I111" s="573">
        <f t="shared" si="29"/>
        <v>81543.082473208502</v>
      </c>
      <c r="J111" s="505">
        <f t="shared" si="17"/>
        <v>0</v>
      </c>
      <c r="K111" s="505"/>
      <c r="L111" s="513"/>
      <c r="M111" s="505">
        <f t="shared" si="23"/>
        <v>0</v>
      </c>
      <c r="N111" s="513"/>
      <c r="O111" s="505">
        <f t="shared" si="20"/>
        <v>0</v>
      </c>
      <c r="P111" s="505">
        <f t="shared" si="21"/>
        <v>0</v>
      </c>
      <c r="Q111" s="244"/>
      <c r="R111" s="244"/>
      <c r="S111" s="244"/>
      <c r="T111" s="244"/>
      <c r="U111" s="244"/>
    </row>
    <row r="112" spans="1:21" ht="12.5">
      <c r="B112" s="145" t="str">
        <f t="shared" si="22"/>
        <v/>
      </c>
      <c r="C112" s="496">
        <f>IF(D94="","-",+C111+1)</f>
        <v>2022</v>
      </c>
      <c r="D112" s="350">
        <f>IF(F111+SUM(E$100:E111)=D$93,F111,D$93-SUM(E$100:E111))</f>
        <v>540922.98643780616</v>
      </c>
      <c r="E112" s="510">
        <f>IF(+J97&lt;F111,J97,D112)</f>
        <v>21933.878787878788</v>
      </c>
      <c r="F112" s="511">
        <f t="shared" si="26"/>
        <v>518989.10764992738</v>
      </c>
      <c r="G112" s="511">
        <f t="shared" si="27"/>
        <v>529956.04704386671</v>
      </c>
      <c r="H112" s="524">
        <f t="shared" si="28"/>
        <v>79174.021203779557</v>
      </c>
      <c r="I112" s="573">
        <f t="shared" si="29"/>
        <v>79174.021203779557</v>
      </c>
      <c r="J112" s="505">
        <f t="shared" si="17"/>
        <v>0</v>
      </c>
      <c r="K112" s="505"/>
      <c r="L112" s="513"/>
      <c r="M112" s="505">
        <f t="shared" si="23"/>
        <v>0</v>
      </c>
      <c r="N112" s="513"/>
      <c r="O112" s="505">
        <f t="shared" si="20"/>
        <v>0</v>
      </c>
      <c r="P112" s="505">
        <f t="shared" si="21"/>
        <v>0</v>
      </c>
      <c r="Q112" s="244"/>
      <c r="R112" s="244"/>
      <c r="S112" s="244"/>
      <c r="T112" s="244"/>
      <c r="U112" s="244"/>
    </row>
    <row r="113" spans="2:21" ht="12.5">
      <c r="B113" s="145" t="str">
        <f t="shared" si="22"/>
        <v/>
      </c>
      <c r="C113" s="496">
        <f>IF(D94="","-",+C112+1)</f>
        <v>2023</v>
      </c>
      <c r="D113" s="350">
        <f>IF(F112+SUM(E$100:E112)=D$93,F112,D$93-SUM(E$100:E112))</f>
        <v>518989.10764992738</v>
      </c>
      <c r="E113" s="510">
        <f>IF(+J97&lt;F112,J97,D113)</f>
        <v>21933.878787878788</v>
      </c>
      <c r="F113" s="511">
        <f t="shared" si="26"/>
        <v>497055.22886204859</v>
      </c>
      <c r="G113" s="511">
        <f t="shared" si="27"/>
        <v>508022.16825598798</v>
      </c>
      <c r="H113" s="524">
        <f t="shared" si="28"/>
        <v>76804.959934350612</v>
      </c>
      <c r="I113" s="573">
        <f t="shared" si="29"/>
        <v>76804.959934350612</v>
      </c>
      <c r="J113" s="505">
        <f t="shared" si="17"/>
        <v>0</v>
      </c>
      <c r="K113" s="505"/>
      <c r="L113" s="513"/>
      <c r="M113" s="505">
        <f t="shared" si="23"/>
        <v>0</v>
      </c>
      <c r="N113" s="513"/>
      <c r="O113" s="505">
        <f t="shared" si="20"/>
        <v>0</v>
      </c>
      <c r="P113" s="505">
        <f t="shared" si="21"/>
        <v>0</v>
      </c>
      <c r="Q113" s="244"/>
      <c r="R113" s="244"/>
      <c r="S113" s="244"/>
      <c r="T113" s="244"/>
      <c r="U113" s="244"/>
    </row>
    <row r="114" spans="2:21" ht="12.5">
      <c r="B114" s="145" t="str">
        <f t="shared" si="22"/>
        <v/>
      </c>
      <c r="C114" s="496">
        <f>IF(D94="","-",+C113+1)</f>
        <v>2024</v>
      </c>
      <c r="D114" s="350">
        <f>IF(F113+SUM(E$100:E113)=D$93,F113,D$93-SUM(E$100:E113))</f>
        <v>497055.22886204859</v>
      </c>
      <c r="E114" s="510">
        <f>IF(+J97&lt;F113,J97,D114)</f>
        <v>21933.878787878788</v>
      </c>
      <c r="F114" s="511">
        <f t="shared" si="26"/>
        <v>475121.35007416981</v>
      </c>
      <c r="G114" s="511">
        <f t="shared" si="27"/>
        <v>486088.2894681092</v>
      </c>
      <c r="H114" s="524">
        <f t="shared" si="28"/>
        <v>74435.898664921682</v>
      </c>
      <c r="I114" s="573">
        <f t="shared" si="29"/>
        <v>74435.898664921682</v>
      </c>
      <c r="J114" s="505">
        <f t="shared" si="17"/>
        <v>0</v>
      </c>
      <c r="K114" s="505"/>
      <c r="L114" s="513"/>
      <c r="M114" s="505">
        <f t="shared" si="23"/>
        <v>0</v>
      </c>
      <c r="N114" s="513"/>
      <c r="O114" s="505">
        <f t="shared" si="20"/>
        <v>0</v>
      </c>
      <c r="P114" s="505">
        <f t="shared" si="21"/>
        <v>0</v>
      </c>
      <c r="Q114" s="244"/>
      <c r="R114" s="244"/>
      <c r="S114" s="244"/>
      <c r="T114" s="244"/>
      <c r="U114" s="244"/>
    </row>
    <row r="115" spans="2:21" ht="12.5">
      <c r="B115" s="145" t="str">
        <f t="shared" si="22"/>
        <v/>
      </c>
      <c r="C115" s="496">
        <f>IF(D94="","-",+C114+1)</f>
        <v>2025</v>
      </c>
      <c r="D115" s="350">
        <f>IF(F114+SUM(E$100:E114)=D$93,F114,D$93-SUM(E$100:E114))</f>
        <v>475121.35007416981</v>
      </c>
      <c r="E115" s="510">
        <f>IF(+J97&lt;F114,J97,D115)</f>
        <v>21933.878787878788</v>
      </c>
      <c r="F115" s="511">
        <f t="shared" si="26"/>
        <v>453187.47128629102</v>
      </c>
      <c r="G115" s="511">
        <f t="shared" si="27"/>
        <v>464154.41068023042</v>
      </c>
      <c r="H115" s="524">
        <f t="shared" si="28"/>
        <v>72066.837395492737</v>
      </c>
      <c r="I115" s="573">
        <f t="shared" si="29"/>
        <v>72066.837395492737</v>
      </c>
      <c r="J115" s="505">
        <f t="shared" si="17"/>
        <v>0</v>
      </c>
      <c r="K115" s="505"/>
      <c r="L115" s="513"/>
      <c r="M115" s="505">
        <f t="shared" si="23"/>
        <v>0</v>
      </c>
      <c r="N115" s="513"/>
      <c r="O115" s="505">
        <f t="shared" si="20"/>
        <v>0</v>
      </c>
      <c r="P115" s="505">
        <f t="shared" si="21"/>
        <v>0</v>
      </c>
      <c r="Q115" s="244"/>
      <c r="R115" s="244"/>
      <c r="S115" s="244"/>
      <c r="T115" s="244"/>
      <c r="U115" s="244"/>
    </row>
    <row r="116" spans="2:21" ht="12.5">
      <c r="B116" s="145" t="str">
        <f t="shared" si="22"/>
        <v/>
      </c>
      <c r="C116" s="496">
        <f>IF(D94="","-",+C115+1)</f>
        <v>2026</v>
      </c>
      <c r="D116" s="350">
        <f>IF(F115+SUM(E$100:E115)=D$93,F115,D$93-SUM(E$100:E115))</f>
        <v>453187.47128629102</v>
      </c>
      <c r="E116" s="510">
        <f>IF(+J97&lt;F115,J97,D116)</f>
        <v>21933.878787878788</v>
      </c>
      <c r="F116" s="511">
        <f t="shared" si="26"/>
        <v>431253.59249841224</v>
      </c>
      <c r="G116" s="511">
        <f t="shared" si="27"/>
        <v>442220.53189235163</v>
      </c>
      <c r="H116" s="524">
        <f t="shared" si="28"/>
        <v>69697.776126063793</v>
      </c>
      <c r="I116" s="573">
        <f t="shared" si="29"/>
        <v>69697.776126063793</v>
      </c>
      <c r="J116" s="505">
        <f t="shared" si="17"/>
        <v>0</v>
      </c>
      <c r="K116" s="505"/>
      <c r="L116" s="513"/>
      <c r="M116" s="505">
        <f t="shared" si="23"/>
        <v>0</v>
      </c>
      <c r="N116" s="513"/>
      <c r="O116" s="505">
        <f t="shared" si="20"/>
        <v>0</v>
      </c>
      <c r="P116" s="505">
        <f t="shared" si="21"/>
        <v>0</v>
      </c>
      <c r="Q116" s="244"/>
      <c r="R116" s="244"/>
      <c r="S116" s="244"/>
      <c r="T116" s="244"/>
      <c r="U116" s="244"/>
    </row>
    <row r="117" spans="2:21" ht="12.5">
      <c r="B117" s="145" t="str">
        <f t="shared" si="22"/>
        <v/>
      </c>
      <c r="C117" s="496">
        <f>IF(D94="","-",+C116+1)</f>
        <v>2027</v>
      </c>
      <c r="D117" s="350">
        <f>IF(F116+SUM(E$100:E116)=D$93,F116,D$93-SUM(E$100:E116))</f>
        <v>431253.59249841224</v>
      </c>
      <c r="E117" s="510">
        <f>IF(+J97&lt;F116,J97,D117)</f>
        <v>21933.878787878788</v>
      </c>
      <c r="F117" s="511">
        <f t="shared" si="26"/>
        <v>409319.71371053346</v>
      </c>
      <c r="G117" s="511">
        <f t="shared" si="27"/>
        <v>420286.65310447285</v>
      </c>
      <c r="H117" s="524">
        <f t="shared" si="28"/>
        <v>67328.714856634848</v>
      </c>
      <c r="I117" s="573">
        <f t="shared" si="29"/>
        <v>67328.714856634848</v>
      </c>
      <c r="J117" s="505">
        <f t="shared" si="17"/>
        <v>0</v>
      </c>
      <c r="K117" s="505"/>
      <c r="L117" s="513"/>
      <c r="M117" s="505">
        <f t="shared" si="23"/>
        <v>0</v>
      </c>
      <c r="N117" s="513"/>
      <c r="O117" s="505">
        <f t="shared" si="20"/>
        <v>0</v>
      </c>
      <c r="P117" s="505">
        <f t="shared" si="21"/>
        <v>0</v>
      </c>
      <c r="Q117" s="244"/>
      <c r="R117" s="244"/>
      <c r="S117" s="244"/>
      <c r="T117" s="244"/>
      <c r="U117" s="244"/>
    </row>
    <row r="118" spans="2:21" ht="12.5">
      <c r="B118" s="145" t="str">
        <f t="shared" si="22"/>
        <v/>
      </c>
      <c r="C118" s="496">
        <f>IF(D94="","-",+C117+1)</f>
        <v>2028</v>
      </c>
      <c r="D118" s="350">
        <f>IF(F117+SUM(E$100:E117)=D$93,F117,D$93-SUM(E$100:E117))</f>
        <v>409319.71371053346</v>
      </c>
      <c r="E118" s="510">
        <f>IF(+J97&lt;F117,J97,D118)</f>
        <v>21933.878787878788</v>
      </c>
      <c r="F118" s="511">
        <f t="shared" si="26"/>
        <v>387385.83492265467</v>
      </c>
      <c r="G118" s="511">
        <f t="shared" si="27"/>
        <v>398352.77431659406</v>
      </c>
      <c r="H118" s="524">
        <f t="shared" si="28"/>
        <v>64959.653587205918</v>
      </c>
      <c r="I118" s="573">
        <f t="shared" si="29"/>
        <v>64959.653587205918</v>
      </c>
      <c r="J118" s="505">
        <f t="shared" si="17"/>
        <v>0</v>
      </c>
      <c r="K118" s="505"/>
      <c r="L118" s="513"/>
      <c r="M118" s="505">
        <f t="shared" si="23"/>
        <v>0</v>
      </c>
      <c r="N118" s="513"/>
      <c r="O118" s="505">
        <f t="shared" si="20"/>
        <v>0</v>
      </c>
      <c r="P118" s="505">
        <f t="shared" si="21"/>
        <v>0</v>
      </c>
      <c r="Q118" s="244"/>
      <c r="R118" s="244"/>
      <c r="S118" s="244"/>
      <c r="T118" s="244"/>
      <c r="U118" s="244"/>
    </row>
    <row r="119" spans="2:21" ht="12.5">
      <c r="B119" s="145" t="str">
        <f t="shared" si="22"/>
        <v/>
      </c>
      <c r="C119" s="496">
        <f>IF(D94="","-",+C118+1)</f>
        <v>2029</v>
      </c>
      <c r="D119" s="350">
        <f>IF(F118+SUM(E$100:E118)=D$93,F118,D$93-SUM(E$100:E118))</f>
        <v>387385.83492265467</v>
      </c>
      <c r="E119" s="510">
        <f>IF(+J97&lt;F118,J97,D119)</f>
        <v>21933.878787878788</v>
      </c>
      <c r="F119" s="511">
        <f t="shared" si="26"/>
        <v>365451.95613477589</v>
      </c>
      <c r="G119" s="511">
        <f t="shared" si="27"/>
        <v>376418.89552871528</v>
      </c>
      <c r="H119" s="524">
        <f t="shared" si="28"/>
        <v>62590.592317776973</v>
      </c>
      <c r="I119" s="573">
        <f t="shared" si="29"/>
        <v>62590.592317776973</v>
      </c>
      <c r="J119" s="505">
        <f t="shared" si="17"/>
        <v>0</v>
      </c>
      <c r="K119" s="505"/>
      <c r="L119" s="513"/>
      <c r="M119" s="505">
        <f t="shared" si="23"/>
        <v>0</v>
      </c>
      <c r="N119" s="513"/>
      <c r="O119" s="505">
        <f t="shared" si="20"/>
        <v>0</v>
      </c>
      <c r="P119" s="505">
        <f t="shared" si="21"/>
        <v>0</v>
      </c>
      <c r="Q119" s="244"/>
      <c r="R119" s="244"/>
      <c r="S119" s="244"/>
      <c r="T119" s="244"/>
      <c r="U119" s="244"/>
    </row>
    <row r="120" spans="2:21" ht="12.5">
      <c r="B120" s="145" t="str">
        <f t="shared" si="22"/>
        <v/>
      </c>
      <c r="C120" s="496">
        <f>IF(D94="","-",+C119+1)</f>
        <v>2030</v>
      </c>
      <c r="D120" s="350">
        <f>IF(F119+SUM(E$100:E119)=D$93,F119,D$93-SUM(E$100:E119))</f>
        <v>365451.95613477589</v>
      </c>
      <c r="E120" s="510">
        <f>IF(+J97&lt;F119,J97,D120)</f>
        <v>21933.878787878788</v>
      </c>
      <c r="F120" s="511">
        <f t="shared" si="26"/>
        <v>343518.0773468971</v>
      </c>
      <c r="G120" s="511">
        <f t="shared" si="27"/>
        <v>354485.01674083649</v>
      </c>
      <c r="H120" s="524">
        <f t="shared" si="28"/>
        <v>60221.531048348028</v>
      </c>
      <c r="I120" s="573">
        <f t="shared" si="29"/>
        <v>60221.531048348028</v>
      </c>
      <c r="J120" s="505">
        <f t="shared" si="17"/>
        <v>0</v>
      </c>
      <c r="K120" s="505"/>
      <c r="L120" s="513"/>
      <c r="M120" s="505">
        <f t="shared" si="23"/>
        <v>0</v>
      </c>
      <c r="N120" s="513"/>
      <c r="O120" s="505">
        <f t="shared" si="20"/>
        <v>0</v>
      </c>
      <c r="P120" s="505">
        <f t="shared" si="21"/>
        <v>0</v>
      </c>
      <c r="Q120" s="244"/>
      <c r="R120" s="244"/>
      <c r="S120" s="244"/>
      <c r="T120" s="244"/>
      <c r="U120" s="244"/>
    </row>
    <row r="121" spans="2:21" ht="12.5">
      <c r="B121" s="145" t="str">
        <f t="shared" si="22"/>
        <v/>
      </c>
      <c r="C121" s="496">
        <f>IF(D94="","-",+C120+1)</f>
        <v>2031</v>
      </c>
      <c r="D121" s="350">
        <f>IF(F120+SUM(E$100:E120)=D$93,F120,D$93-SUM(E$100:E120))</f>
        <v>343518.0773468971</v>
      </c>
      <c r="E121" s="510">
        <f>IF(+J97&lt;F120,J97,D121)</f>
        <v>21933.878787878788</v>
      </c>
      <c r="F121" s="511">
        <f t="shared" si="26"/>
        <v>321584.19855901832</v>
      </c>
      <c r="G121" s="511">
        <f t="shared" si="27"/>
        <v>332551.13795295771</v>
      </c>
      <c r="H121" s="524">
        <f t="shared" si="28"/>
        <v>57852.469778919083</v>
      </c>
      <c r="I121" s="573">
        <f t="shared" si="29"/>
        <v>57852.469778919083</v>
      </c>
      <c r="J121" s="505">
        <f t="shared" si="17"/>
        <v>0</v>
      </c>
      <c r="K121" s="505"/>
      <c r="L121" s="513"/>
      <c r="M121" s="505">
        <f t="shared" si="23"/>
        <v>0</v>
      </c>
      <c r="N121" s="513"/>
      <c r="O121" s="505">
        <f t="shared" si="20"/>
        <v>0</v>
      </c>
      <c r="P121" s="505">
        <f t="shared" si="21"/>
        <v>0</v>
      </c>
      <c r="Q121" s="244"/>
      <c r="R121" s="244"/>
      <c r="S121" s="244"/>
      <c r="T121" s="244"/>
      <c r="U121" s="244"/>
    </row>
    <row r="122" spans="2:21" ht="12.5">
      <c r="B122" s="145" t="str">
        <f t="shared" si="22"/>
        <v/>
      </c>
      <c r="C122" s="496">
        <f>IF(D94="","-",+C121+1)</f>
        <v>2032</v>
      </c>
      <c r="D122" s="350">
        <f>IF(F121+SUM(E$100:E121)=D$93,F121,D$93-SUM(E$100:E121))</f>
        <v>321584.19855901832</v>
      </c>
      <c r="E122" s="510">
        <f>IF(+J97&lt;F121,J97,D122)</f>
        <v>21933.878787878788</v>
      </c>
      <c r="F122" s="511">
        <f t="shared" si="26"/>
        <v>299650.31977113953</v>
      </c>
      <c r="G122" s="511">
        <f t="shared" si="27"/>
        <v>310617.25916507893</v>
      </c>
      <c r="H122" s="524">
        <f t="shared" si="28"/>
        <v>55483.408509490153</v>
      </c>
      <c r="I122" s="573">
        <f t="shared" si="29"/>
        <v>55483.408509490153</v>
      </c>
      <c r="J122" s="505">
        <f t="shared" si="17"/>
        <v>0</v>
      </c>
      <c r="K122" s="505"/>
      <c r="L122" s="513"/>
      <c r="M122" s="505">
        <f t="shared" si="23"/>
        <v>0</v>
      </c>
      <c r="N122" s="513"/>
      <c r="O122" s="505">
        <f t="shared" si="20"/>
        <v>0</v>
      </c>
      <c r="P122" s="505">
        <f t="shared" si="21"/>
        <v>0</v>
      </c>
      <c r="Q122" s="244"/>
      <c r="R122" s="244"/>
      <c r="S122" s="244"/>
      <c r="T122" s="244"/>
      <c r="U122" s="244"/>
    </row>
    <row r="123" spans="2:21" ht="12.5">
      <c r="B123" s="145" t="str">
        <f t="shared" si="22"/>
        <v/>
      </c>
      <c r="C123" s="496">
        <f>IF(D94="","-",+C122+1)</f>
        <v>2033</v>
      </c>
      <c r="D123" s="350">
        <f>IF(F122+SUM(E$100:E122)=D$93,F122,D$93-SUM(E$100:E122))</f>
        <v>299650.31977113953</v>
      </c>
      <c r="E123" s="510">
        <f>IF(+J97&lt;F122,J97,D123)</f>
        <v>21933.878787878788</v>
      </c>
      <c r="F123" s="511">
        <f t="shared" si="26"/>
        <v>277716.44098326075</v>
      </c>
      <c r="G123" s="511">
        <f t="shared" si="27"/>
        <v>288683.38037720014</v>
      </c>
      <c r="H123" s="524">
        <f t="shared" si="28"/>
        <v>53114.347240061208</v>
      </c>
      <c r="I123" s="573">
        <f t="shared" si="29"/>
        <v>53114.347240061208</v>
      </c>
      <c r="J123" s="505">
        <f t="shared" si="17"/>
        <v>0</v>
      </c>
      <c r="K123" s="505"/>
      <c r="L123" s="513"/>
      <c r="M123" s="505">
        <f t="shared" si="23"/>
        <v>0</v>
      </c>
      <c r="N123" s="513"/>
      <c r="O123" s="505">
        <f t="shared" si="20"/>
        <v>0</v>
      </c>
      <c r="P123" s="505">
        <f t="shared" si="21"/>
        <v>0</v>
      </c>
      <c r="Q123" s="244"/>
      <c r="R123" s="244"/>
      <c r="S123" s="244"/>
      <c r="T123" s="244"/>
      <c r="U123" s="244"/>
    </row>
    <row r="124" spans="2:21" ht="12.5">
      <c r="B124" s="145" t="str">
        <f t="shared" si="22"/>
        <v/>
      </c>
      <c r="C124" s="496">
        <f>IF(D94="","-",+C123+1)</f>
        <v>2034</v>
      </c>
      <c r="D124" s="350">
        <f>IF(F123+SUM(E$100:E123)=D$93,F123,D$93-SUM(E$100:E123))</f>
        <v>277716.44098326075</v>
      </c>
      <c r="E124" s="510">
        <f>IF(+J97&lt;F123,J97,D124)</f>
        <v>21933.878787878788</v>
      </c>
      <c r="F124" s="511">
        <f t="shared" si="26"/>
        <v>255782.56219538196</v>
      </c>
      <c r="G124" s="511">
        <f t="shared" si="27"/>
        <v>266749.50158932136</v>
      </c>
      <c r="H124" s="524">
        <f t="shared" si="28"/>
        <v>50745.285970632263</v>
      </c>
      <c r="I124" s="573">
        <f t="shared" si="29"/>
        <v>50745.285970632263</v>
      </c>
      <c r="J124" s="505">
        <f t="shared" si="17"/>
        <v>0</v>
      </c>
      <c r="K124" s="505"/>
      <c r="L124" s="513"/>
      <c r="M124" s="505">
        <f t="shared" si="23"/>
        <v>0</v>
      </c>
      <c r="N124" s="513"/>
      <c r="O124" s="505">
        <f t="shared" si="20"/>
        <v>0</v>
      </c>
      <c r="P124" s="505">
        <f t="shared" si="21"/>
        <v>0</v>
      </c>
      <c r="Q124" s="244"/>
      <c r="R124" s="244"/>
      <c r="S124" s="244"/>
      <c r="T124" s="244"/>
      <c r="U124" s="244"/>
    </row>
    <row r="125" spans="2:21" ht="12.5">
      <c r="B125" s="145" t="str">
        <f t="shared" si="22"/>
        <v/>
      </c>
      <c r="C125" s="496">
        <f>IF(D94="","-",+C124+1)</f>
        <v>2035</v>
      </c>
      <c r="D125" s="350">
        <f>IF(F124+SUM(E$100:E124)=D$93,F124,D$93-SUM(E$100:E124))</f>
        <v>255782.56219538196</v>
      </c>
      <c r="E125" s="510">
        <f>IF(+J97&lt;F124,J97,D125)</f>
        <v>21933.878787878788</v>
      </c>
      <c r="F125" s="511">
        <f t="shared" si="26"/>
        <v>233848.68340750318</v>
      </c>
      <c r="G125" s="511">
        <f t="shared" si="27"/>
        <v>244815.62280144257</v>
      </c>
      <c r="H125" s="524">
        <f t="shared" si="28"/>
        <v>48376.224701203326</v>
      </c>
      <c r="I125" s="573">
        <f t="shared" si="29"/>
        <v>48376.224701203326</v>
      </c>
      <c r="J125" s="505">
        <f t="shared" si="17"/>
        <v>0</v>
      </c>
      <c r="K125" s="505"/>
      <c r="L125" s="513"/>
      <c r="M125" s="505">
        <f t="shared" si="23"/>
        <v>0</v>
      </c>
      <c r="N125" s="513"/>
      <c r="O125" s="505">
        <f t="shared" si="20"/>
        <v>0</v>
      </c>
      <c r="P125" s="505">
        <f t="shared" si="21"/>
        <v>0</v>
      </c>
      <c r="Q125" s="244"/>
      <c r="R125" s="244"/>
      <c r="S125" s="244"/>
      <c r="T125" s="244"/>
      <c r="U125" s="244"/>
    </row>
    <row r="126" spans="2:21" ht="12.5">
      <c r="B126" s="145" t="str">
        <f t="shared" si="22"/>
        <v/>
      </c>
      <c r="C126" s="496">
        <f>IF(D94="","-",+C125+1)</f>
        <v>2036</v>
      </c>
      <c r="D126" s="350">
        <f>IF(F125+SUM(E$100:E125)=D$93,F125,D$93-SUM(E$100:E125))</f>
        <v>233848.68340750318</v>
      </c>
      <c r="E126" s="510">
        <f>IF(+J97&lt;F125,J97,D126)</f>
        <v>21933.878787878788</v>
      </c>
      <c r="F126" s="511">
        <f t="shared" si="26"/>
        <v>211914.8046196244</v>
      </c>
      <c r="G126" s="511">
        <f t="shared" si="27"/>
        <v>222881.74401356379</v>
      </c>
      <c r="H126" s="524">
        <f t="shared" si="28"/>
        <v>46007.163431774388</v>
      </c>
      <c r="I126" s="573">
        <f t="shared" si="29"/>
        <v>46007.163431774388</v>
      </c>
      <c r="J126" s="505">
        <f t="shared" si="17"/>
        <v>0</v>
      </c>
      <c r="K126" s="505"/>
      <c r="L126" s="513"/>
      <c r="M126" s="505">
        <f t="shared" si="23"/>
        <v>0</v>
      </c>
      <c r="N126" s="513"/>
      <c r="O126" s="505">
        <f t="shared" si="20"/>
        <v>0</v>
      </c>
      <c r="P126" s="505">
        <f t="shared" si="21"/>
        <v>0</v>
      </c>
      <c r="Q126" s="244"/>
      <c r="R126" s="244"/>
      <c r="S126" s="244"/>
      <c r="T126" s="244"/>
      <c r="U126" s="244"/>
    </row>
    <row r="127" spans="2:21" ht="12.5">
      <c r="B127" s="145" t="str">
        <f t="shared" si="22"/>
        <v/>
      </c>
      <c r="C127" s="496">
        <f>IF(D94="","-",+C126+1)</f>
        <v>2037</v>
      </c>
      <c r="D127" s="350">
        <f>IF(F126+SUM(E$100:E126)=D$93,F126,D$93-SUM(E$100:E126))</f>
        <v>211914.8046196244</v>
      </c>
      <c r="E127" s="510">
        <f>IF(+J97&lt;F126,J97,D127)</f>
        <v>21933.878787878788</v>
      </c>
      <c r="F127" s="511">
        <f t="shared" si="26"/>
        <v>189980.92583174561</v>
      </c>
      <c r="G127" s="511">
        <f t="shared" si="27"/>
        <v>200947.865225685</v>
      </c>
      <c r="H127" s="524">
        <f t="shared" si="28"/>
        <v>43638.102162345444</v>
      </c>
      <c r="I127" s="573">
        <f t="shared" si="29"/>
        <v>43638.102162345444</v>
      </c>
      <c r="J127" s="505">
        <f t="shared" si="17"/>
        <v>0</v>
      </c>
      <c r="K127" s="505"/>
      <c r="L127" s="513"/>
      <c r="M127" s="505">
        <f t="shared" si="23"/>
        <v>0</v>
      </c>
      <c r="N127" s="513"/>
      <c r="O127" s="505">
        <f t="shared" si="20"/>
        <v>0</v>
      </c>
      <c r="P127" s="505">
        <f t="shared" si="21"/>
        <v>0</v>
      </c>
      <c r="Q127" s="244"/>
      <c r="R127" s="244"/>
      <c r="S127" s="244"/>
      <c r="T127" s="244"/>
      <c r="U127" s="244"/>
    </row>
    <row r="128" spans="2:21" ht="12.5">
      <c r="B128" s="145" t="str">
        <f t="shared" si="22"/>
        <v/>
      </c>
      <c r="C128" s="496">
        <f>IF(D94="","-",+C127+1)</f>
        <v>2038</v>
      </c>
      <c r="D128" s="350">
        <f>IF(F127+SUM(E$100:E127)=D$93,F127,D$93-SUM(E$100:E127))</f>
        <v>189980.92583174561</v>
      </c>
      <c r="E128" s="510">
        <f>IF(+J97&lt;F127,J97,D128)</f>
        <v>21933.878787878788</v>
      </c>
      <c r="F128" s="511">
        <f t="shared" si="26"/>
        <v>168047.04704386683</v>
      </c>
      <c r="G128" s="511">
        <f t="shared" si="27"/>
        <v>179013.98643780622</v>
      </c>
      <c r="H128" s="524">
        <f t="shared" si="28"/>
        <v>41269.040892916499</v>
      </c>
      <c r="I128" s="573">
        <f t="shared" si="29"/>
        <v>41269.040892916499</v>
      </c>
      <c r="J128" s="505">
        <f t="shared" si="17"/>
        <v>0</v>
      </c>
      <c r="K128" s="505"/>
      <c r="L128" s="513"/>
      <c r="M128" s="505">
        <f t="shared" si="23"/>
        <v>0</v>
      </c>
      <c r="N128" s="513"/>
      <c r="O128" s="505">
        <f t="shared" si="20"/>
        <v>0</v>
      </c>
      <c r="P128" s="505">
        <f t="shared" si="21"/>
        <v>0</v>
      </c>
      <c r="Q128" s="244"/>
      <c r="R128" s="244"/>
      <c r="S128" s="244"/>
      <c r="T128" s="244"/>
      <c r="U128" s="244"/>
    </row>
    <row r="129" spans="2:21" ht="12.5">
      <c r="B129" s="145" t="str">
        <f t="shared" si="22"/>
        <v/>
      </c>
      <c r="C129" s="496">
        <f>IF(D94="","-",+C128+1)</f>
        <v>2039</v>
      </c>
      <c r="D129" s="350">
        <f>IF(F128+SUM(E$100:E128)=D$93,F128,D$93-SUM(E$100:E128))</f>
        <v>168047.04704386683</v>
      </c>
      <c r="E129" s="510">
        <f>IF(+J97&lt;F128,J97,D129)</f>
        <v>21933.878787878788</v>
      </c>
      <c r="F129" s="511">
        <f t="shared" si="26"/>
        <v>146113.16825598804</v>
      </c>
      <c r="G129" s="511">
        <f t="shared" si="27"/>
        <v>157080.10764992743</v>
      </c>
      <c r="H129" s="524">
        <f t="shared" si="28"/>
        <v>38899.979623487561</v>
      </c>
      <c r="I129" s="573">
        <f t="shared" si="29"/>
        <v>38899.979623487561</v>
      </c>
      <c r="J129" s="505">
        <f t="shared" si="17"/>
        <v>0</v>
      </c>
      <c r="K129" s="505"/>
      <c r="L129" s="513"/>
      <c r="M129" s="505">
        <f t="shared" si="23"/>
        <v>0</v>
      </c>
      <c r="N129" s="513"/>
      <c r="O129" s="505">
        <f t="shared" si="20"/>
        <v>0</v>
      </c>
      <c r="P129" s="505">
        <f t="shared" si="21"/>
        <v>0</v>
      </c>
      <c r="Q129" s="244"/>
      <c r="R129" s="244"/>
      <c r="S129" s="244"/>
      <c r="T129" s="244"/>
      <c r="U129" s="244"/>
    </row>
    <row r="130" spans="2:21" ht="12.5">
      <c r="B130" s="145" t="str">
        <f t="shared" si="22"/>
        <v/>
      </c>
      <c r="C130" s="496">
        <f>IF(D94="","-",+C129+1)</f>
        <v>2040</v>
      </c>
      <c r="D130" s="350">
        <f>IF(F129+SUM(E$100:E129)=D$93,F129,D$93-SUM(E$100:E129))</f>
        <v>146113.16825598804</v>
      </c>
      <c r="E130" s="510">
        <f>IF(+J97&lt;F129,J97,D130)</f>
        <v>21933.878787878788</v>
      </c>
      <c r="F130" s="511">
        <f t="shared" si="26"/>
        <v>124179.28946810926</v>
      </c>
      <c r="G130" s="511">
        <f t="shared" si="27"/>
        <v>135146.22886204865</v>
      </c>
      <c r="H130" s="524">
        <f t="shared" si="28"/>
        <v>36530.918354058624</v>
      </c>
      <c r="I130" s="573">
        <f t="shared" si="29"/>
        <v>36530.918354058624</v>
      </c>
      <c r="J130" s="505">
        <f t="shared" si="17"/>
        <v>0</v>
      </c>
      <c r="K130" s="505"/>
      <c r="L130" s="513"/>
      <c r="M130" s="505">
        <f t="shared" si="23"/>
        <v>0</v>
      </c>
      <c r="N130" s="513"/>
      <c r="O130" s="505">
        <f t="shared" si="20"/>
        <v>0</v>
      </c>
      <c r="P130" s="505">
        <f t="shared" si="21"/>
        <v>0</v>
      </c>
      <c r="Q130" s="244"/>
      <c r="R130" s="244"/>
      <c r="S130" s="244"/>
      <c r="T130" s="244"/>
      <c r="U130" s="244"/>
    </row>
    <row r="131" spans="2:21" ht="12.5">
      <c r="B131" s="145" t="str">
        <f t="shared" si="22"/>
        <v/>
      </c>
      <c r="C131" s="496">
        <f>IF(D94="","-",+C130+1)</f>
        <v>2041</v>
      </c>
      <c r="D131" s="350">
        <f>IF(F130+SUM(E$100:E130)=D$93,F130,D$93-SUM(E$100:E130))</f>
        <v>124179.28946810926</v>
      </c>
      <c r="E131" s="510">
        <f>IF(+J97&lt;F130,J97,D131)</f>
        <v>21933.878787878788</v>
      </c>
      <c r="F131" s="511">
        <f t="shared" si="26"/>
        <v>102245.41068023047</v>
      </c>
      <c r="G131" s="511">
        <f t="shared" si="27"/>
        <v>113212.35007416987</v>
      </c>
      <c r="H131" s="524">
        <f t="shared" si="28"/>
        <v>34161.857084629679</v>
      </c>
      <c r="I131" s="573">
        <f t="shared" si="29"/>
        <v>34161.857084629679</v>
      </c>
      <c r="J131" s="505">
        <f t="shared" si="17"/>
        <v>0</v>
      </c>
      <c r="K131" s="505"/>
      <c r="L131" s="513"/>
      <c r="M131" s="505">
        <f t="shared" si="23"/>
        <v>0</v>
      </c>
      <c r="N131" s="513"/>
      <c r="O131" s="505">
        <f t="shared" si="20"/>
        <v>0</v>
      </c>
      <c r="P131" s="505">
        <f t="shared" si="21"/>
        <v>0</v>
      </c>
      <c r="Q131" s="244"/>
      <c r="R131" s="244"/>
      <c r="S131" s="244"/>
      <c r="T131" s="244"/>
      <c r="U131" s="244"/>
    </row>
    <row r="132" spans="2:21" ht="12.5">
      <c r="B132" s="145" t="str">
        <f t="shared" si="22"/>
        <v/>
      </c>
      <c r="C132" s="496">
        <f>IF(D94="","-",+C131+1)</f>
        <v>2042</v>
      </c>
      <c r="D132" s="350">
        <f>IF(F131+SUM(E$100:E131)=D$93,F131,D$93-SUM(E$100:E131))</f>
        <v>102245.41068023047</v>
      </c>
      <c r="E132" s="510">
        <f>IF(+J97&lt;F131,J97,D132)</f>
        <v>21933.878787878788</v>
      </c>
      <c r="F132" s="511">
        <f t="shared" ref="F132:F155" si="30">+D132-E132</f>
        <v>80311.53189235169</v>
      </c>
      <c r="G132" s="511">
        <f t="shared" ref="G132:G155" si="31">+(F132+D132)/2</f>
        <v>91278.471286291082</v>
      </c>
      <c r="H132" s="524">
        <f t="shared" si="28"/>
        <v>31792.795815200738</v>
      </c>
      <c r="I132" s="573">
        <f t="shared" si="29"/>
        <v>31792.795815200738</v>
      </c>
      <c r="J132" s="505">
        <f t="shared" ref="J132:J155" si="32">+I132-H132</f>
        <v>0</v>
      </c>
      <c r="K132" s="505"/>
      <c r="L132" s="513"/>
      <c r="M132" s="505">
        <f t="shared" ref="M132:M155" si="33">IF(L132&lt;&gt;0,+H132-L132,0)</f>
        <v>0</v>
      </c>
      <c r="N132" s="513"/>
      <c r="O132" s="505">
        <f t="shared" ref="O132:O155" si="34">IF(N132&lt;&gt;0,+I132-N132,0)</f>
        <v>0</v>
      </c>
      <c r="P132" s="505">
        <f t="shared" ref="P132:P155" si="35">+O132-M132</f>
        <v>0</v>
      </c>
      <c r="Q132" s="244"/>
      <c r="R132" s="244"/>
      <c r="S132" s="244"/>
      <c r="T132" s="244"/>
      <c r="U132" s="244"/>
    </row>
    <row r="133" spans="2:21" ht="12.5">
      <c r="B133" s="145" t="str">
        <f t="shared" si="22"/>
        <v/>
      </c>
      <c r="C133" s="496">
        <f>IF(D94="","-",+C132+1)</f>
        <v>2043</v>
      </c>
      <c r="D133" s="350">
        <f>IF(F132+SUM(E$100:E132)=D$93,F132,D$93-SUM(E$100:E132))</f>
        <v>80311.53189235169</v>
      </c>
      <c r="E133" s="510">
        <f>IF(+J97&lt;F132,J97,D133)</f>
        <v>21933.878787878788</v>
      </c>
      <c r="F133" s="511">
        <f t="shared" si="30"/>
        <v>58377.653104472905</v>
      </c>
      <c r="G133" s="511">
        <f t="shared" si="31"/>
        <v>69344.592498412298</v>
      </c>
      <c r="H133" s="524">
        <f t="shared" ref="H133:H155" si="36">+J$95*G133+E133</f>
        <v>29423.734545771797</v>
      </c>
      <c r="I133" s="573">
        <f t="shared" ref="I133:I155" si="37">+J$96*G133+E133</f>
        <v>29423.734545771797</v>
      </c>
      <c r="J133" s="505">
        <f t="shared" si="32"/>
        <v>0</v>
      </c>
      <c r="K133" s="505"/>
      <c r="L133" s="513"/>
      <c r="M133" s="505">
        <f t="shared" si="33"/>
        <v>0</v>
      </c>
      <c r="N133" s="513"/>
      <c r="O133" s="505">
        <f t="shared" si="34"/>
        <v>0</v>
      </c>
      <c r="P133" s="505">
        <f t="shared" si="35"/>
        <v>0</v>
      </c>
      <c r="Q133" s="244"/>
      <c r="R133" s="244"/>
      <c r="S133" s="244"/>
      <c r="T133" s="244"/>
      <c r="U133" s="244"/>
    </row>
    <row r="134" spans="2:21" ht="12.5">
      <c r="B134" s="145" t="str">
        <f t="shared" si="22"/>
        <v/>
      </c>
      <c r="C134" s="496">
        <f>IF(D94="","-",+C133+1)</f>
        <v>2044</v>
      </c>
      <c r="D134" s="350">
        <f>IF(F133+SUM(E$100:E133)=D$93,F133,D$93-SUM(E$100:E133))</f>
        <v>58377.653104472905</v>
      </c>
      <c r="E134" s="510">
        <f>IF(+J97&lt;F133,J97,D134)</f>
        <v>21933.878787878788</v>
      </c>
      <c r="F134" s="511">
        <f t="shared" si="30"/>
        <v>36443.774316594121</v>
      </c>
      <c r="G134" s="511">
        <f t="shared" si="31"/>
        <v>47410.713710533513</v>
      </c>
      <c r="H134" s="524">
        <f t="shared" si="36"/>
        <v>27054.673276342855</v>
      </c>
      <c r="I134" s="573">
        <f t="shared" si="37"/>
        <v>27054.673276342855</v>
      </c>
      <c r="J134" s="505">
        <f t="shared" si="32"/>
        <v>0</v>
      </c>
      <c r="K134" s="505"/>
      <c r="L134" s="513"/>
      <c r="M134" s="505">
        <f t="shared" si="33"/>
        <v>0</v>
      </c>
      <c r="N134" s="513"/>
      <c r="O134" s="505">
        <f t="shared" si="34"/>
        <v>0</v>
      </c>
      <c r="P134" s="505">
        <f t="shared" si="35"/>
        <v>0</v>
      </c>
      <c r="Q134" s="244"/>
      <c r="R134" s="244"/>
      <c r="S134" s="244"/>
      <c r="T134" s="244"/>
      <c r="U134" s="244"/>
    </row>
    <row r="135" spans="2:21" ht="12.5">
      <c r="B135" s="145" t="str">
        <f t="shared" si="22"/>
        <v/>
      </c>
      <c r="C135" s="496">
        <f>IF(D94="","-",+C134+1)</f>
        <v>2045</v>
      </c>
      <c r="D135" s="350">
        <f>IF(F134+SUM(E$100:E134)=D$93,F134,D$93-SUM(E$100:E134))</f>
        <v>36443.774316594121</v>
      </c>
      <c r="E135" s="510">
        <f>IF(+J97&lt;F134,J97,D135)</f>
        <v>21933.878787878788</v>
      </c>
      <c r="F135" s="511">
        <f t="shared" si="30"/>
        <v>14509.895528715333</v>
      </c>
      <c r="G135" s="511">
        <f t="shared" si="31"/>
        <v>25476.834922654729</v>
      </c>
      <c r="H135" s="524">
        <f t="shared" si="36"/>
        <v>24685.612006913914</v>
      </c>
      <c r="I135" s="573">
        <f t="shared" si="37"/>
        <v>24685.612006913914</v>
      </c>
      <c r="J135" s="505">
        <f t="shared" si="32"/>
        <v>0</v>
      </c>
      <c r="K135" s="505"/>
      <c r="L135" s="513"/>
      <c r="M135" s="505">
        <f t="shared" si="33"/>
        <v>0</v>
      </c>
      <c r="N135" s="513"/>
      <c r="O135" s="505">
        <f t="shared" si="34"/>
        <v>0</v>
      </c>
      <c r="P135" s="505">
        <f t="shared" si="35"/>
        <v>0</v>
      </c>
      <c r="Q135" s="244"/>
      <c r="R135" s="244"/>
      <c r="S135" s="244"/>
      <c r="T135" s="244"/>
      <c r="U135" s="244"/>
    </row>
    <row r="136" spans="2:21" ht="12.5">
      <c r="B136" s="145" t="str">
        <f t="shared" si="22"/>
        <v/>
      </c>
      <c r="C136" s="496">
        <f>IF(D94="","-",+C135+1)</f>
        <v>2046</v>
      </c>
      <c r="D136" s="350">
        <f>IF(F135+SUM(E$100:E135)=D$93,F135,D$93-SUM(E$100:E135))</f>
        <v>14509.895528715333</v>
      </c>
      <c r="E136" s="510">
        <f>IF(+J97&lt;F135,J97,D136)</f>
        <v>14509.895528715333</v>
      </c>
      <c r="F136" s="511">
        <f t="shared" si="30"/>
        <v>0</v>
      </c>
      <c r="G136" s="511">
        <f t="shared" si="31"/>
        <v>7254.9477643576665</v>
      </c>
      <c r="H136" s="524">
        <f t="shared" si="36"/>
        <v>15293.496820875662</v>
      </c>
      <c r="I136" s="573">
        <f t="shared" si="37"/>
        <v>15293.496820875662</v>
      </c>
      <c r="J136" s="505">
        <f t="shared" si="32"/>
        <v>0</v>
      </c>
      <c r="K136" s="505"/>
      <c r="L136" s="513"/>
      <c r="M136" s="505">
        <f t="shared" si="33"/>
        <v>0</v>
      </c>
      <c r="N136" s="513"/>
      <c r="O136" s="505">
        <f t="shared" si="34"/>
        <v>0</v>
      </c>
      <c r="P136" s="505">
        <f t="shared" si="35"/>
        <v>0</v>
      </c>
      <c r="Q136" s="244"/>
      <c r="R136" s="244"/>
      <c r="S136" s="244"/>
      <c r="T136" s="244"/>
      <c r="U136" s="244"/>
    </row>
    <row r="137" spans="2:21" ht="12.5">
      <c r="B137" s="145" t="str">
        <f t="shared" si="22"/>
        <v/>
      </c>
      <c r="C137" s="496">
        <f>IF(D94="","-",+C136+1)</f>
        <v>2047</v>
      </c>
      <c r="D137" s="350">
        <f>IF(F136+SUM(E$100:E136)=D$93,F136,D$93-SUM(E$100:E136))</f>
        <v>0</v>
      </c>
      <c r="E137" s="510">
        <f>IF(+J97&lt;F136,J97,D137)</f>
        <v>0</v>
      </c>
      <c r="F137" s="511">
        <f t="shared" si="30"/>
        <v>0</v>
      </c>
      <c r="G137" s="511">
        <f t="shared" si="31"/>
        <v>0</v>
      </c>
      <c r="H137" s="524">
        <f t="shared" si="36"/>
        <v>0</v>
      </c>
      <c r="I137" s="573">
        <f t="shared" si="37"/>
        <v>0</v>
      </c>
      <c r="J137" s="505">
        <f t="shared" si="32"/>
        <v>0</v>
      </c>
      <c r="K137" s="505"/>
      <c r="L137" s="513"/>
      <c r="M137" s="505">
        <f t="shared" si="33"/>
        <v>0</v>
      </c>
      <c r="N137" s="513"/>
      <c r="O137" s="505">
        <f t="shared" si="34"/>
        <v>0</v>
      </c>
      <c r="P137" s="505">
        <f t="shared" si="35"/>
        <v>0</v>
      </c>
      <c r="Q137" s="244"/>
      <c r="R137" s="244"/>
      <c r="S137" s="244"/>
      <c r="T137" s="244"/>
      <c r="U137" s="244"/>
    </row>
    <row r="138" spans="2:21" ht="12.5">
      <c r="B138" s="145" t="str">
        <f t="shared" si="22"/>
        <v/>
      </c>
      <c r="C138" s="496">
        <f>IF(D94="","-",+C137+1)</f>
        <v>2048</v>
      </c>
      <c r="D138" s="350">
        <f>IF(F137+SUM(E$100:E137)=D$93,F137,D$93-SUM(E$100:E137))</f>
        <v>0</v>
      </c>
      <c r="E138" s="510">
        <f>IF(+J97&lt;F137,J97,D138)</f>
        <v>0</v>
      </c>
      <c r="F138" s="511">
        <f t="shared" si="30"/>
        <v>0</v>
      </c>
      <c r="G138" s="511">
        <f t="shared" si="31"/>
        <v>0</v>
      </c>
      <c r="H138" s="524">
        <f t="shared" si="36"/>
        <v>0</v>
      </c>
      <c r="I138" s="573">
        <f t="shared" si="37"/>
        <v>0</v>
      </c>
      <c r="J138" s="505">
        <f t="shared" si="32"/>
        <v>0</v>
      </c>
      <c r="K138" s="505"/>
      <c r="L138" s="513"/>
      <c r="M138" s="505">
        <f t="shared" si="33"/>
        <v>0</v>
      </c>
      <c r="N138" s="513"/>
      <c r="O138" s="505">
        <f t="shared" si="34"/>
        <v>0</v>
      </c>
      <c r="P138" s="505">
        <f t="shared" si="35"/>
        <v>0</v>
      </c>
      <c r="Q138" s="244"/>
      <c r="R138" s="244"/>
      <c r="S138" s="244"/>
      <c r="T138" s="244"/>
      <c r="U138" s="244"/>
    </row>
    <row r="139" spans="2:21" ht="12.5">
      <c r="B139" s="145" t="str">
        <f t="shared" si="22"/>
        <v/>
      </c>
      <c r="C139" s="496">
        <f>IF(D94="","-",+C138+1)</f>
        <v>2049</v>
      </c>
      <c r="D139" s="350">
        <f>IF(F138+SUM(E$100:E138)=D$93,F138,D$93-SUM(E$100:E138))</f>
        <v>0</v>
      </c>
      <c r="E139" s="510">
        <f>IF(+J97&lt;F138,J97,D139)</f>
        <v>0</v>
      </c>
      <c r="F139" s="511">
        <f t="shared" si="30"/>
        <v>0</v>
      </c>
      <c r="G139" s="511">
        <f t="shared" si="31"/>
        <v>0</v>
      </c>
      <c r="H139" s="524">
        <f t="shared" si="36"/>
        <v>0</v>
      </c>
      <c r="I139" s="573">
        <f t="shared" si="37"/>
        <v>0</v>
      </c>
      <c r="J139" s="505">
        <f t="shared" si="32"/>
        <v>0</v>
      </c>
      <c r="K139" s="505"/>
      <c r="L139" s="513"/>
      <c r="M139" s="505">
        <f t="shared" si="33"/>
        <v>0</v>
      </c>
      <c r="N139" s="513"/>
      <c r="O139" s="505">
        <f t="shared" si="34"/>
        <v>0</v>
      </c>
      <c r="P139" s="505">
        <f t="shared" si="35"/>
        <v>0</v>
      </c>
      <c r="Q139" s="244"/>
      <c r="R139" s="244"/>
      <c r="S139" s="244"/>
      <c r="T139" s="244"/>
      <c r="U139" s="244"/>
    </row>
    <row r="140" spans="2:21" ht="12.5">
      <c r="B140" s="145" t="str">
        <f t="shared" si="22"/>
        <v/>
      </c>
      <c r="C140" s="496">
        <f>IF(D94="","-",+C139+1)</f>
        <v>2050</v>
      </c>
      <c r="D140" s="350">
        <f>IF(F139+SUM(E$100:E139)=D$93,F139,D$93-SUM(E$100:E139))</f>
        <v>0</v>
      </c>
      <c r="E140" s="510">
        <f>IF(+J97&lt;F139,J97,D140)</f>
        <v>0</v>
      </c>
      <c r="F140" s="511">
        <f t="shared" si="30"/>
        <v>0</v>
      </c>
      <c r="G140" s="511">
        <f t="shared" si="31"/>
        <v>0</v>
      </c>
      <c r="H140" s="524">
        <f t="shared" si="36"/>
        <v>0</v>
      </c>
      <c r="I140" s="573">
        <f t="shared" si="37"/>
        <v>0</v>
      </c>
      <c r="J140" s="505">
        <f t="shared" si="32"/>
        <v>0</v>
      </c>
      <c r="K140" s="505"/>
      <c r="L140" s="513"/>
      <c r="M140" s="505">
        <f t="shared" si="33"/>
        <v>0</v>
      </c>
      <c r="N140" s="513"/>
      <c r="O140" s="505">
        <f t="shared" si="34"/>
        <v>0</v>
      </c>
      <c r="P140" s="505">
        <f t="shared" si="35"/>
        <v>0</v>
      </c>
      <c r="Q140" s="244"/>
      <c r="R140" s="244"/>
      <c r="S140" s="244"/>
      <c r="T140" s="244"/>
      <c r="U140" s="244"/>
    </row>
    <row r="141" spans="2:21" ht="12.5">
      <c r="B141" s="145" t="str">
        <f t="shared" si="22"/>
        <v/>
      </c>
      <c r="C141" s="496">
        <f>IF(D94="","-",+C140+1)</f>
        <v>2051</v>
      </c>
      <c r="D141" s="350">
        <f>IF(F140+SUM(E$100:E140)=D$93,F140,D$93-SUM(E$100:E140))</f>
        <v>0</v>
      </c>
      <c r="E141" s="510">
        <f>IF(+J97&lt;F140,J97,D141)</f>
        <v>0</v>
      </c>
      <c r="F141" s="511">
        <f t="shared" si="30"/>
        <v>0</v>
      </c>
      <c r="G141" s="511">
        <f t="shared" si="31"/>
        <v>0</v>
      </c>
      <c r="H141" s="524">
        <f t="shared" si="36"/>
        <v>0</v>
      </c>
      <c r="I141" s="573">
        <f t="shared" si="37"/>
        <v>0</v>
      </c>
      <c r="J141" s="505">
        <f t="shared" si="32"/>
        <v>0</v>
      </c>
      <c r="K141" s="505"/>
      <c r="L141" s="513"/>
      <c r="M141" s="505">
        <f t="shared" si="33"/>
        <v>0</v>
      </c>
      <c r="N141" s="513"/>
      <c r="O141" s="505">
        <f t="shared" si="34"/>
        <v>0</v>
      </c>
      <c r="P141" s="505">
        <f t="shared" si="35"/>
        <v>0</v>
      </c>
      <c r="Q141" s="244"/>
      <c r="R141" s="244"/>
      <c r="S141" s="244"/>
      <c r="T141" s="244"/>
      <c r="U141" s="244"/>
    </row>
    <row r="142" spans="2:21" ht="12.5">
      <c r="B142" s="145" t="str">
        <f t="shared" si="22"/>
        <v/>
      </c>
      <c r="C142" s="496">
        <f>IF(D94="","-",+C141+1)</f>
        <v>2052</v>
      </c>
      <c r="D142" s="350">
        <f>IF(F141+SUM(E$100:E141)=D$93,F141,D$93-SUM(E$100:E141))</f>
        <v>0</v>
      </c>
      <c r="E142" s="510">
        <f>IF(+J97&lt;F141,J97,D142)</f>
        <v>0</v>
      </c>
      <c r="F142" s="511">
        <f t="shared" si="30"/>
        <v>0</v>
      </c>
      <c r="G142" s="511">
        <f t="shared" si="31"/>
        <v>0</v>
      </c>
      <c r="H142" s="524">
        <f t="shared" si="36"/>
        <v>0</v>
      </c>
      <c r="I142" s="573">
        <f t="shared" si="37"/>
        <v>0</v>
      </c>
      <c r="J142" s="505">
        <f t="shared" si="32"/>
        <v>0</v>
      </c>
      <c r="K142" s="505"/>
      <c r="L142" s="513"/>
      <c r="M142" s="505">
        <f t="shared" si="33"/>
        <v>0</v>
      </c>
      <c r="N142" s="513"/>
      <c r="O142" s="505">
        <f t="shared" si="34"/>
        <v>0</v>
      </c>
      <c r="P142" s="505">
        <f t="shared" si="35"/>
        <v>0</v>
      </c>
      <c r="Q142" s="244"/>
      <c r="R142" s="244"/>
      <c r="S142" s="244"/>
      <c r="T142" s="244"/>
      <c r="U142" s="244"/>
    </row>
    <row r="143" spans="2:21" ht="12.5">
      <c r="B143" s="145" t="str">
        <f t="shared" si="22"/>
        <v/>
      </c>
      <c r="C143" s="496">
        <f>IF(D94="","-",+C142+1)</f>
        <v>2053</v>
      </c>
      <c r="D143" s="350">
        <f>IF(F142+SUM(E$100:E142)=D$93,F142,D$93-SUM(E$100:E142))</f>
        <v>0</v>
      </c>
      <c r="E143" s="510">
        <f>IF(+J97&lt;F142,J97,D143)</f>
        <v>0</v>
      </c>
      <c r="F143" s="511">
        <f t="shared" si="30"/>
        <v>0</v>
      </c>
      <c r="G143" s="511">
        <f t="shared" si="31"/>
        <v>0</v>
      </c>
      <c r="H143" s="524">
        <f t="shared" si="36"/>
        <v>0</v>
      </c>
      <c r="I143" s="573">
        <f t="shared" si="37"/>
        <v>0</v>
      </c>
      <c r="J143" s="505">
        <f t="shared" si="32"/>
        <v>0</v>
      </c>
      <c r="K143" s="505"/>
      <c r="L143" s="513"/>
      <c r="M143" s="505">
        <f t="shared" si="33"/>
        <v>0</v>
      </c>
      <c r="N143" s="513"/>
      <c r="O143" s="505">
        <f t="shared" si="34"/>
        <v>0</v>
      </c>
      <c r="P143" s="505">
        <f t="shared" si="35"/>
        <v>0</v>
      </c>
      <c r="Q143" s="244"/>
      <c r="R143" s="244"/>
      <c r="S143" s="244"/>
      <c r="T143" s="244"/>
      <c r="U143" s="244"/>
    </row>
    <row r="144" spans="2:21" ht="12.5">
      <c r="B144" s="145" t="str">
        <f t="shared" si="22"/>
        <v/>
      </c>
      <c r="C144" s="496">
        <f>IF(D94="","-",+C143+1)</f>
        <v>2054</v>
      </c>
      <c r="D144" s="350">
        <f>IF(F143+SUM(E$100:E143)=D$93,F143,D$93-SUM(E$100:E143))</f>
        <v>0</v>
      </c>
      <c r="E144" s="510">
        <f>IF(+J97&lt;F143,J97,D144)</f>
        <v>0</v>
      </c>
      <c r="F144" s="511">
        <f t="shared" si="30"/>
        <v>0</v>
      </c>
      <c r="G144" s="511">
        <f t="shared" si="31"/>
        <v>0</v>
      </c>
      <c r="H144" s="524">
        <f t="shared" si="36"/>
        <v>0</v>
      </c>
      <c r="I144" s="573">
        <f t="shared" si="37"/>
        <v>0</v>
      </c>
      <c r="J144" s="505">
        <f t="shared" si="32"/>
        <v>0</v>
      </c>
      <c r="K144" s="505"/>
      <c r="L144" s="513"/>
      <c r="M144" s="505">
        <f t="shared" si="33"/>
        <v>0</v>
      </c>
      <c r="N144" s="513"/>
      <c r="O144" s="505">
        <f t="shared" si="34"/>
        <v>0</v>
      </c>
      <c r="P144" s="505">
        <f t="shared" si="35"/>
        <v>0</v>
      </c>
      <c r="Q144" s="244"/>
      <c r="R144" s="244"/>
      <c r="S144" s="244"/>
      <c r="T144" s="244"/>
      <c r="U144" s="244"/>
    </row>
    <row r="145" spans="2:21" ht="12.5">
      <c r="B145" s="145" t="str">
        <f t="shared" si="22"/>
        <v/>
      </c>
      <c r="C145" s="496">
        <f>IF(D94="","-",+C144+1)</f>
        <v>2055</v>
      </c>
      <c r="D145" s="350">
        <f>IF(F144+SUM(E$100:E144)=D$93,F144,D$93-SUM(E$100:E144))</f>
        <v>0</v>
      </c>
      <c r="E145" s="510">
        <f>IF(+J97&lt;F144,J97,D145)</f>
        <v>0</v>
      </c>
      <c r="F145" s="511">
        <f t="shared" si="30"/>
        <v>0</v>
      </c>
      <c r="G145" s="511">
        <f t="shared" si="31"/>
        <v>0</v>
      </c>
      <c r="H145" s="524">
        <f t="shared" si="36"/>
        <v>0</v>
      </c>
      <c r="I145" s="573">
        <f t="shared" si="37"/>
        <v>0</v>
      </c>
      <c r="J145" s="505">
        <f t="shared" si="32"/>
        <v>0</v>
      </c>
      <c r="K145" s="505"/>
      <c r="L145" s="513"/>
      <c r="M145" s="505">
        <f t="shared" si="33"/>
        <v>0</v>
      </c>
      <c r="N145" s="513"/>
      <c r="O145" s="505">
        <f t="shared" si="34"/>
        <v>0</v>
      </c>
      <c r="P145" s="505">
        <f t="shared" si="35"/>
        <v>0</v>
      </c>
      <c r="Q145" s="244"/>
      <c r="R145" s="244"/>
      <c r="S145" s="244"/>
      <c r="T145" s="244"/>
      <c r="U145" s="244"/>
    </row>
    <row r="146" spans="2:21" ht="12.5">
      <c r="B146" s="145" t="str">
        <f t="shared" si="22"/>
        <v/>
      </c>
      <c r="C146" s="496">
        <f>IF(D94="","-",+C145+1)</f>
        <v>2056</v>
      </c>
      <c r="D146" s="350">
        <f>IF(F145+SUM(E$100:E145)=D$93,F145,D$93-SUM(E$100:E145))</f>
        <v>0</v>
      </c>
      <c r="E146" s="510">
        <f>IF(+J97&lt;F145,J97,D146)</f>
        <v>0</v>
      </c>
      <c r="F146" s="511">
        <f t="shared" si="30"/>
        <v>0</v>
      </c>
      <c r="G146" s="511">
        <f t="shared" si="31"/>
        <v>0</v>
      </c>
      <c r="H146" s="524">
        <f t="shared" si="36"/>
        <v>0</v>
      </c>
      <c r="I146" s="573">
        <f t="shared" si="37"/>
        <v>0</v>
      </c>
      <c r="J146" s="505">
        <f t="shared" si="32"/>
        <v>0</v>
      </c>
      <c r="K146" s="505"/>
      <c r="L146" s="513"/>
      <c r="M146" s="505">
        <f t="shared" si="33"/>
        <v>0</v>
      </c>
      <c r="N146" s="513"/>
      <c r="O146" s="505">
        <f t="shared" si="34"/>
        <v>0</v>
      </c>
      <c r="P146" s="505">
        <f t="shared" si="35"/>
        <v>0</v>
      </c>
      <c r="Q146" s="244"/>
      <c r="R146" s="244"/>
      <c r="S146" s="244"/>
      <c r="T146" s="244"/>
      <c r="U146" s="244"/>
    </row>
    <row r="147" spans="2:21" ht="12.5">
      <c r="B147" s="145" t="str">
        <f t="shared" si="22"/>
        <v/>
      </c>
      <c r="C147" s="496">
        <f>IF(D94="","-",+C146+1)</f>
        <v>2057</v>
      </c>
      <c r="D147" s="350">
        <f>IF(F146+SUM(E$100:E146)=D$93,F146,D$93-SUM(E$100:E146))</f>
        <v>0</v>
      </c>
      <c r="E147" s="510">
        <f>IF(+J97&lt;F146,J97,D147)</f>
        <v>0</v>
      </c>
      <c r="F147" s="511">
        <f t="shared" si="30"/>
        <v>0</v>
      </c>
      <c r="G147" s="511">
        <f t="shared" si="31"/>
        <v>0</v>
      </c>
      <c r="H147" s="524">
        <f t="shared" si="36"/>
        <v>0</v>
      </c>
      <c r="I147" s="573">
        <f t="shared" si="37"/>
        <v>0</v>
      </c>
      <c r="J147" s="505">
        <f t="shared" si="32"/>
        <v>0</v>
      </c>
      <c r="K147" s="505"/>
      <c r="L147" s="513"/>
      <c r="M147" s="505">
        <f t="shared" si="33"/>
        <v>0</v>
      </c>
      <c r="N147" s="513"/>
      <c r="O147" s="505">
        <f t="shared" si="34"/>
        <v>0</v>
      </c>
      <c r="P147" s="505">
        <f t="shared" si="35"/>
        <v>0</v>
      </c>
      <c r="Q147" s="244"/>
      <c r="R147" s="244"/>
      <c r="S147" s="244"/>
      <c r="T147" s="244"/>
      <c r="U147" s="244"/>
    </row>
    <row r="148" spans="2:21" ht="12.5">
      <c r="B148" s="145" t="str">
        <f t="shared" si="22"/>
        <v/>
      </c>
      <c r="C148" s="496">
        <f>IF(D94="","-",+C147+1)</f>
        <v>2058</v>
      </c>
      <c r="D148" s="350">
        <f>IF(F147+SUM(E$100:E147)=D$93,F147,D$93-SUM(E$100:E147))</f>
        <v>0</v>
      </c>
      <c r="E148" s="510">
        <f>IF(+J97&lt;F147,J97,D148)</f>
        <v>0</v>
      </c>
      <c r="F148" s="511">
        <f t="shared" si="30"/>
        <v>0</v>
      </c>
      <c r="G148" s="511">
        <f t="shared" si="31"/>
        <v>0</v>
      </c>
      <c r="H148" s="524">
        <f t="shared" si="36"/>
        <v>0</v>
      </c>
      <c r="I148" s="573">
        <f t="shared" si="37"/>
        <v>0</v>
      </c>
      <c r="J148" s="505">
        <f t="shared" si="32"/>
        <v>0</v>
      </c>
      <c r="K148" s="505"/>
      <c r="L148" s="513"/>
      <c r="M148" s="505">
        <f t="shared" si="33"/>
        <v>0</v>
      </c>
      <c r="N148" s="513"/>
      <c r="O148" s="505">
        <f t="shared" si="34"/>
        <v>0</v>
      </c>
      <c r="P148" s="505">
        <f t="shared" si="35"/>
        <v>0</v>
      </c>
      <c r="Q148" s="244"/>
      <c r="R148" s="244"/>
      <c r="S148" s="244"/>
      <c r="T148" s="244"/>
      <c r="U148" s="244"/>
    </row>
    <row r="149" spans="2:21" ht="12.5">
      <c r="B149" s="145" t="str">
        <f t="shared" si="22"/>
        <v/>
      </c>
      <c r="C149" s="496">
        <f>IF(D94="","-",+C148+1)</f>
        <v>2059</v>
      </c>
      <c r="D149" s="350">
        <f>IF(F148+SUM(E$100:E148)=D$93,F148,D$93-SUM(E$100:E148))</f>
        <v>0</v>
      </c>
      <c r="E149" s="510">
        <f>IF(+J97&lt;F148,J97,D149)</f>
        <v>0</v>
      </c>
      <c r="F149" s="511">
        <f t="shared" si="30"/>
        <v>0</v>
      </c>
      <c r="G149" s="511">
        <f t="shared" si="31"/>
        <v>0</v>
      </c>
      <c r="H149" s="524">
        <f t="shared" si="36"/>
        <v>0</v>
      </c>
      <c r="I149" s="573">
        <f t="shared" si="37"/>
        <v>0</v>
      </c>
      <c r="J149" s="505">
        <f t="shared" si="32"/>
        <v>0</v>
      </c>
      <c r="K149" s="505"/>
      <c r="L149" s="513"/>
      <c r="M149" s="505">
        <f t="shared" si="33"/>
        <v>0</v>
      </c>
      <c r="N149" s="513"/>
      <c r="O149" s="505">
        <f t="shared" si="34"/>
        <v>0</v>
      </c>
      <c r="P149" s="505">
        <f t="shared" si="35"/>
        <v>0</v>
      </c>
      <c r="Q149" s="244"/>
      <c r="R149" s="244"/>
      <c r="S149" s="244"/>
      <c r="T149" s="244"/>
      <c r="U149" s="244"/>
    </row>
    <row r="150" spans="2:21" ht="12.5">
      <c r="B150" s="145" t="str">
        <f t="shared" si="22"/>
        <v/>
      </c>
      <c r="C150" s="496">
        <f>IF(D94="","-",+C149+1)</f>
        <v>2060</v>
      </c>
      <c r="D150" s="350">
        <f>IF(F149+SUM(E$100:E149)=D$93,F149,D$93-SUM(E$100:E149))</f>
        <v>0</v>
      </c>
      <c r="E150" s="510">
        <f>IF(+J97&lt;F149,J97,D150)</f>
        <v>0</v>
      </c>
      <c r="F150" s="511">
        <f t="shared" si="30"/>
        <v>0</v>
      </c>
      <c r="G150" s="511">
        <f t="shared" si="31"/>
        <v>0</v>
      </c>
      <c r="H150" s="524">
        <f t="shared" si="36"/>
        <v>0</v>
      </c>
      <c r="I150" s="573">
        <f t="shared" si="37"/>
        <v>0</v>
      </c>
      <c r="J150" s="505">
        <f t="shared" si="32"/>
        <v>0</v>
      </c>
      <c r="K150" s="505"/>
      <c r="L150" s="513"/>
      <c r="M150" s="505">
        <f t="shared" si="33"/>
        <v>0</v>
      </c>
      <c r="N150" s="513"/>
      <c r="O150" s="505">
        <f t="shared" si="34"/>
        <v>0</v>
      </c>
      <c r="P150" s="505">
        <f t="shared" si="35"/>
        <v>0</v>
      </c>
      <c r="Q150" s="244"/>
      <c r="R150" s="244"/>
      <c r="S150" s="244"/>
      <c r="T150" s="244"/>
      <c r="U150" s="244"/>
    </row>
    <row r="151" spans="2:21" ht="12.5">
      <c r="B151" s="145" t="str">
        <f t="shared" si="22"/>
        <v/>
      </c>
      <c r="C151" s="496">
        <f>IF(D94="","-",+C150+1)</f>
        <v>2061</v>
      </c>
      <c r="D151" s="350">
        <f>IF(F150+SUM(E$100:E150)=D$93,F150,D$93-SUM(E$100:E150))</f>
        <v>0</v>
      </c>
      <c r="E151" s="510">
        <f>IF(+J97&lt;F150,J97,D151)</f>
        <v>0</v>
      </c>
      <c r="F151" s="511">
        <f t="shared" si="30"/>
        <v>0</v>
      </c>
      <c r="G151" s="511">
        <f t="shared" si="31"/>
        <v>0</v>
      </c>
      <c r="H151" s="524">
        <f t="shared" si="36"/>
        <v>0</v>
      </c>
      <c r="I151" s="573">
        <f t="shared" si="37"/>
        <v>0</v>
      </c>
      <c r="J151" s="505">
        <f t="shared" si="32"/>
        <v>0</v>
      </c>
      <c r="K151" s="505"/>
      <c r="L151" s="513"/>
      <c r="M151" s="505">
        <f t="shared" si="33"/>
        <v>0</v>
      </c>
      <c r="N151" s="513"/>
      <c r="O151" s="505">
        <f t="shared" si="34"/>
        <v>0</v>
      </c>
      <c r="P151" s="505">
        <f t="shared" si="35"/>
        <v>0</v>
      </c>
      <c r="Q151" s="244"/>
      <c r="R151" s="244"/>
      <c r="S151" s="244"/>
      <c r="T151" s="244"/>
      <c r="U151" s="244"/>
    </row>
    <row r="152" spans="2:21" ht="12.5">
      <c r="B152" s="145" t="str">
        <f t="shared" si="22"/>
        <v/>
      </c>
      <c r="C152" s="496">
        <f>IF(D94="","-",+C151+1)</f>
        <v>2062</v>
      </c>
      <c r="D152" s="350">
        <f>IF(F151+SUM(E$100:E151)=D$93,F151,D$93-SUM(E$100:E151))</f>
        <v>0</v>
      </c>
      <c r="E152" s="510">
        <f>IF(+J97&lt;F151,J97,D152)</f>
        <v>0</v>
      </c>
      <c r="F152" s="511">
        <f t="shared" si="30"/>
        <v>0</v>
      </c>
      <c r="G152" s="511">
        <f t="shared" si="31"/>
        <v>0</v>
      </c>
      <c r="H152" s="524">
        <f t="shared" si="36"/>
        <v>0</v>
      </c>
      <c r="I152" s="573">
        <f t="shared" si="37"/>
        <v>0</v>
      </c>
      <c r="J152" s="505">
        <f t="shared" si="32"/>
        <v>0</v>
      </c>
      <c r="K152" s="505"/>
      <c r="L152" s="513"/>
      <c r="M152" s="505">
        <f t="shared" si="33"/>
        <v>0</v>
      </c>
      <c r="N152" s="513"/>
      <c r="O152" s="505">
        <f t="shared" si="34"/>
        <v>0</v>
      </c>
      <c r="P152" s="505">
        <f t="shared" si="35"/>
        <v>0</v>
      </c>
      <c r="Q152" s="244"/>
      <c r="R152" s="244"/>
      <c r="S152" s="244"/>
      <c r="T152" s="244"/>
      <c r="U152" s="244"/>
    </row>
    <row r="153" spans="2:21" ht="12.5">
      <c r="B153" s="145" t="str">
        <f t="shared" si="22"/>
        <v/>
      </c>
      <c r="C153" s="496">
        <f>IF(D94="","-",+C152+1)</f>
        <v>2063</v>
      </c>
      <c r="D153" s="350">
        <f>IF(F152+SUM(E$100:E152)=D$93,F152,D$93-SUM(E$100:E152))</f>
        <v>0</v>
      </c>
      <c r="E153" s="510">
        <f>IF(+J97&lt;F152,J97,D153)</f>
        <v>0</v>
      </c>
      <c r="F153" s="511">
        <f t="shared" si="30"/>
        <v>0</v>
      </c>
      <c r="G153" s="511">
        <f t="shared" si="31"/>
        <v>0</v>
      </c>
      <c r="H153" s="524">
        <f t="shared" si="36"/>
        <v>0</v>
      </c>
      <c r="I153" s="573">
        <f t="shared" si="37"/>
        <v>0</v>
      </c>
      <c r="J153" s="505">
        <f t="shared" si="32"/>
        <v>0</v>
      </c>
      <c r="K153" s="505"/>
      <c r="L153" s="513"/>
      <c r="M153" s="505">
        <f t="shared" si="33"/>
        <v>0</v>
      </c>
      <c r="N153" s="513"/>
      <c r="O153" s="505">
        <f t="shared" si="34"/>
        <v>0</v>
      </c>
      <c r="P153" s="505">
        <f t="shared" si="35"/>
        <v>0</v>
      </c>
      <c r="Q153" s="244"/>
      <c r="R153" s="244"/>
      <c r="S153" s="244"/>
      <c r="T153" s="244"/>
      <c r="U153" s="244"/>
    </row>
    <row r="154" spans="2:21" ht="12.5">
      <c r="B154" s="145" t="str">
        <f t="shared" si="22"/>
        <v/>
      </c>
      <c r="C154" s="496">
        <f>IF(D94="","-",+C153+1)</f>
        <v>2064</v>
      </c>
      <c r="D154" s="350">
        <f>IF(F153+SUM(E$100:E153)=D$93,F153,D$93-SUM(E$100:E153))</f>
        <v>0</v>
      </c>
      <c r="E154" s="510">
        <f>IF(+J97&lt;F153,J97,D154)</f>
        <v>0</v>
      </c>
      <c r="F154" s="511">
        <f t="shared" si="30"/>
        <v>0</v>
      </c>
      <c r="G154" s="511">
        <f t="shared" si="31"/>
        <v>0</v>
      </c>
      <c r="H154" s="524">
        <f t="shared" si="36"/>
        <v>0</v>
      </c>
      <c r="I154" s="573">
        <f t="shared" si="37"/>
        <v>0</v>
      </c>
      <c r="J154" s="505">
        <f t="shared" si="32"/>
        <v>0</v>
      </c>
      <c r="K154" s="505"/>
      <c r="L154" s="513"/>
      <c r="M154" s="505">
        <f t="shared" si="33"/>
        <v>0</v>
      </c>
      <c r="N154" s="513"/>
      <c r="O154" s="505">
        <f t="shared" si="34"/>
        <v>0</v>
      </c>
      <c r="P154" s="505">
        <f t="shared" si="35"/>
        <v>0</v>
      </c>
      <c r="Q154" s="244"/>
      <c r="R154" s="244"/>
      <c r="S154" s="244"/>
      <c r="T154" s="244"/>
      <c r="U154" s="244"/>
    </row>
    <row r="155" spans="2:21" ht="13" thickBot="1">
      <c r="B155" s="145" t="str">
        <f t="shared" si="22"/>
        <v/>
      </c>
      <c r="C155" s="525">
        <f>IF(D94="","-",+C154+1)</f>
        <v>2065</v>
      </c>
      <c r="D155" s="528">
        <f>IF(F154+SUM(E$100:E154)=D$93,F154,D$93-SUM(E$100:E154))</f>
        <v>0</v>
      </c>
      <c r="E155" s="527">
        <f>IF(+J97&lt;F154,J97,D155)</f>
        <v>0</v>
      </c>
      <c r="F155" s="528">
        <f t="shared" si="30"/>
        <v>0</v>
      </c>
      <c r="G155" s="528">
        <f t="shared" si="31"/>
        <v>0</v>
      </c>
      <c r="H155" s="529">
        <f t="shared" si="36"/>
        <v>0</v>
      </c>
      <c r="I155" s="574">
        <f t="shared" si="37"/>
        <v>0</v>
      </c>
      <c r="J155" s="532">
        <f t="shared" si="32"/>
        <v>0</v>
      </c>
      <c r="K155" s="505"/>
      <c r="L155" s="531"/>
      <c r="M155" s="532">
        <f t="shared" si="33"/>
        <v>0</v>
      </c>
      <c r="N155" s="531"/>
      <c r="O155" s="532">
        <f t="shared" si="34"/>
        <v>0</v>
      </c>
      <c r="P155" s="532">
        <f t="shared" si="35"/>
        <v>0</v>
      </c>
      <c r="Q155" s="244"/>
      <c r="R155" s="244"/>
      <c r="S155" s="244"/>
      <c r="T155" s="244"/>
      <c r="U155" s="244"/>
    </row>
    <row r="156" spans="2:21" ht="12.5">
      <c r="C156" s="350" t="s">
        <v>75</v>
      </c>
      <c r="D156" s="295"/>
      <c r="E156" s="295">
        <f>SUM(E100:E155)</f>
        <v>723818.00000000012</v>
      </c>
      <c r="F156" s="295"/>
      <c r="G156" s="295"/>
      <c r="H156" s="295">
        <f>SUM(H100:H155)</f>
        <v>2293103.7834561486</v>
      </c>
      <c r="I156" s="295">
        <f>SUM(I100:I155)</f>
        <v>2293103.7834561486</v>
      </c>
      <c r="J156" s="295">
        <f>SUM(J100:J155)</f>
        <v>0</v>
      </c>
      <c r="K156" s="295"/>
      <c r="L156" s="295"/>
      <c r="M156" s="295"/>
      <c r="N156" s="295"/>
      <c r="O156" s="295"/>
      <c r="P156" s="244"/>
      <c r="Q156" s="244"/>
      <c r="R156" s="244"/>
      <c r="S156" s="244"/>
      <c r="T156" s="244"/>
      <c r="U156" s="244"/>
    </row>
    <row r="157" spans="2:21" ht="12.5">
      <c r="D157" s="293"/>
      <c r="E157" s="244"/>
      <c r="F157" s="244"/>
      <c r="G157" s="244"/>
      <c r="H157" s="244"/>
      <c r="I157" s="326"/>
      <c r="J157" s="326"/>
      <c r="K157" s="295"/>
      <c r="L157" s="326"/>
      <c r="M157" s="326"/>
      <c r="N157" s="326"/>
      <c r="O157" s="326"/>
      <c r="P157" s="244"/>
      <c r="Q157" s="244"/>
      <c r="R157" s="244"/>
      <c r="S157" s="244"/>
      <c r="T157" s="244"/>
      <c r="U157" s="244"/>
    </row>
    <row r="158" spans="2:21" ht="12.5">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ht="12.5">
      <c r="D159" s="293"/>
      <c r="E159" s="244"/>
      <c r="F159" s="244"/>
      <c r="G159" s="244"/>
      <c r="H159" s="244"/>
      <c r="I159" s="326"/>
      <c r="J159" s="326"/>
      <c r="K159" s="295"/>
      <c r="L159" s="326"/>
      <c r="M159" s="326"/>
      <c r="N159" s="326"/>
      <c r="O159" s="326"/>
      <c r="P159" s="244"/>
      <c r="Q159" s="244"/>
      <c r="R159" s="244"/>
      <c r="S159" s="244"/>
      <c r="T159" s="244"/>
      <c r="U159" s="244"/>
    </row>
    <row r="160" spans="2:21" ht="13">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ht="13">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77" t="s">
        <v>129</v>
      </c>
      <c r="Q163" s="244"/>
      <c r="R163" s="244"/>
      <c r="S163" s="244"/>
      <c r="T163" s="244"/>
      <c r="U163" s="244"/>
    </row>
  </sheetData>
  <phoneticPr fontId="0" type="noConversion"/>
  <conditionalFormatting sqref="C17:C29 C34:C73">
    <cfRule type="cellIs" dxfId="48" priority="2" stopIfTrue="1" operator="equal">
      <formula>$I$10</formula>
    </cfRule>
  </conditionalFormatting>
  <conditionalFormatting sqref="C100:C155">
    <cfRule type="cellIs" dxfId="47" priority="3" stopIfTrue="1" operator="equal">
      <formula>$J$93</formula>
    </cfRule>
  </conditionalFormatting>
  <conditionalFormatting sqref="C30:C33">
    <cfRule type="cellIs" dxfId="46"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U163"/>
  <sheetViews>
    <sheetView view="pageBreakPreview" zoomScale="85" zoomScaleNormal="100" workbookViewId="0">
      <selection activeCell="D10" sqref="D10"/>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"&amp;RIGHT(MID(CELL("filename",$A$1),FIND("]",CELL("filename",$A$1))+1,256),1)&amp;" of "&amp;COUNT('OKT.001:OKT.xyz - blank'!$P$3)-1</f>
        <v>OKT Project 2 of 19</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113764.92954880837</v>
      </c>
      <c r="P5" s="244"/>
      <c r="R5" s="244"/>
      <c r="S5" s="244"/>
      <c r="T5" s="244"/>
      <c r="U5" s="244"/>
    </row>
    <row r="6" spans="1:21" ht="15.5">
      <c r="C6" s="236"/>
      <c r="D6" s="293"/>
      <c r="E6" s="244"/>
      <c r="F6" s="244"/>
      <c r="G6" s="244"/>
      <c r="H6" s="450"/>
      <c r="I6" s="450"/>
      <c r="J6" s="451"/>
      <c r="K6" s="452" t="s">
        <v>243</v>
      </c>
      <c r="L6" s="453"/>
      <c r="M6" s="279"/>
      <c r="N6" s="454">
        <f>VLOOKUP(I10,C17:I73,6)</f>
        <v>113764.92954880837</v>
      </c>
      <c r="O6" s="244"/>
      <c r="P6" s="244"/>
      <c r="R6" s="244"/>
      <c r="S6" s="244"/>
      <c r="T6" s="244"/>
      <c r="U6" s="244"/>
    </row>
    <row r="7" spans="1:21" ht="13.5" thickBot="1">
      <c r="C7" s="455" t="s">
        <v>46</v>
      </c>
      <c r="D7" s="456" t="s">
        <v>192</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A9" s="152"/>
      <c r="C9" s="464" t="s">
        <v>48</v>
      </c>
      <c r="D9" s="465" t="s">
        <v>197</v>
      </c>
      <c r="E9" s="466"/>
      <c r="F9" s="466"/>
      <c r="G9" s="466"/>
      <c r="H9" s="466"/>
      <c r="I9" s="467"/>
      <c r="J9" s="468"/>
      <c r="O9" s="469"/>
      <c r="P9" s="279"/>
      <c r="R9" s="244"/>
      <c r="S9" s="244"/>
      <c r="T9" s="244"/>
      <c r="U9" s="244"/>
    </row>
    <row r="10" spans="1:21" ht="13">
      <c r="C10" s="470" t="s">
        <v>49</v>
      </c>
      <c r="D10" s="471">
        <v>985777.34</v>
      </c>
      <c r="E10" s="300" t="s">
        <v>50</v>
      </c>
      <c r="F10" s="469"/>
      <c r="G10" s="409"/>
      <c r="H10" s="409"/>
      <c r="I10" s="472">
        <f>+OKT.WS.F.BPU.ATRR.Projected!R100</f>
        <v>2019</v>
      </c>
      <c r="J10" s="468"/>
      <c r="K10" s="295" t="s">
        <v>51</v>
      </c>
      <c r="O10" s="279"/>
      <c r="P10" s="279"/>
      <c r="R10" s="244"/>
      <c r="S10" s="244"/>
      <c r="T10" s="244"/>
      <c r="U10" s="244"/>
    </row>
    <row r="11" spans="1:21" ht="12.5">
      <c r="C11" s="473" t="s">
        <v>52</v>
      </c>
      <c r="D11" s="474">
        <v>2010</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6</v>
      </c>
      <c r="E12" s="473" t="s">
        <v>55</v>
      </c>
      <c r="F12" s="409"/>
      <c r="G12" s="221"/>
      <c r="H12" s="221"/>
      <c r="I12" s="477">
        <f>OKT.WS.F.BPU.ATRR.Projected!$F$78</f>
        <v>0.11749102697326873</v>
      </c>
      <c r="J12" s="579"/>
      <c r="K12" s="145" t="s">
        <v>56</v>
      </c>
      <c r="O12" s="279"/>
      <c r="P12" s="279"/>
      <c r="R12" s="244"/>
      <c r="S12" s="244"/>
      <c r="T12" s="244"/>
      <c r="U12" s="244"/>
    </row>
    <row r="13" spans="1:21" ht="12.5">
      <c r="C13" s="473" t="s">
        <v>57</v>
      </c>
      <c r="D13" s="475">
        <f>OKT.WS.F.BPU.ATRR.Projected!F89</f>
        <v>41</v>
      </c>
      <c r="E13" s="473" t="s">
        <v>58</v>
      </c>
      <c r="F13" s="409"/>
      <c r="G13" s="221"/>
      <c r="H13" s="221"/>
      <c r="I13" s="477">
        <f>IF(G5="",I12,OKT.WS.F.BPU.ATRR.Projected!$F$77)</f>
        <v>0.11749102697326873</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24043.349756097559</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IF(D17=F16,"","IU")</f>
        <v>IU</v>
      </c>
      <c r="C17" s="581">
        <f>IF(D11= "","-",D11)</f>
        <v>2010</v>
      </c>
      <c r="D17" s="497">
        <v>1000000</v>
      </c>
      <c r="E17" s="498">
        <v>8649.6050543178571</v>
      </c>
      <c r="F17" s="497">
        <v>991350.39494568214</v>
      </c>
      <c r="G17" s="499">
        <v>128416.51741983544</v>
      </c>
      <c r="H17" s="500">
        <v>128416.51741983544</v>
      </c>
      <c r="I17" s="501">
        <f t="shared" ref="I17:I49" si="0">H17-G17</f>
        <v>0</v>
      </c>
      <c r="J17" s="501"/>
      <c r="K17" s="502">
        <f t="shared" ref="K17:K22" si="1">G17</f>
        <v>128416.51741983544</v>
      </c>
      <c r="L17" s="503">
        <f t="shared" ref="L17:L49" si="2">IF(K17&lt;&gt;0,+G17-K17,0)</f>
        <v>0</v>
      </c>
      <c r="M17" s="502">
        <f t="shared" ref="M17:M22" si="3">H17</f>
        <v>128416.51741983544</v>
      </c>
      <c r="N17" s="504">
        <f t="shared" ref="N17:N49" si="4">IF(M17&lt;&gt;0,+H17-M17,0)</f>
        <v>0</v>
      </c>
      <c r="O17" s="505">
        <f t="shared" ref="O17:O49" si="5">+N17-L17</f>
        <v>0</v>
      </c>
      <c r="P17" s="279"/>
      <c r="R17" s="244"/>
      <c r="S17" s="244"/>
      <c r="T17" s="244"/>
      <c r="U17" s="244"/>
    </row>
    <row r="18" spans="2:21" ht="12.5">
      <c r="B18" s="145" t="str">
        <f>IF(D18=F17,"","IU")</f>
        <v/>
      </c>
      <c r="C18" s="496">
        <f>IF(D11="","-",+C17+1)</f>
        <v>2011</v>
      </c>
      <c r="D18" s="506">
        <v>991350.39494568214</v>
      </c>
      <c r="E18" s="499">
        <v>16985.402437265064</v>
      </c>
      <c r="F18" s="506">
        <v>974364.99250841711</v>
      </c>
      <c r="G18" s="499">
        <v>143658.66281023776</v>
      </c>
      <c r="H18" s="500">
        <v>143658.66281023776</v>
      </c>
      <c r="I18" s="501">
        <f t="shared" si="0"/>
        <v>0</v>
      </c>
      <c r="J18" s="501"/>
      <c r="K18" s="507">
        <f t="shared" si="1"/>
        <v>143658.66281023776</v>
      </c>
      <c r="L18" s="508">
        <f t="shared" si="2"/>
        <v>0</v>
      </c>
      <c r="M18" s="507">
        <f t="shared" si="3"/>
        <v>143658.66281023776</v>
      </c>
      <c r="N18" s="505">
        <f t="shared" si="4"/>
        <v>0</v>
      </c>
      <c r="O18" s="505">
        <f t="shared" si="5"/>
        <v>0</v>
      </c>
      <c r="P18" s="279"/>
      <c r="R18" s="244"/>
      <c r="S18" s="244"/>
      <c r="T18" s="244"/>
      <c r="U18" s="244"/>
    </row>
    <row r="19" spans="2:21" ht="12.5">
      <c r="B19" s="145" t="str">
        <f t="shared" ref="B19:B73" si="6">IF(D19=F18,"","IU")</f>
        <v/>
      </c>
      <c r="C19" s="496">
        <f>IF(D11="","-",+C18+1)</f>
        <v>2012</v>
      </c>
      <c r="D19" s="506">
        <v>974364.99250841711</v>
      </c>
      <c r="E19" s="499">
        <v>17053.169324992024</v>
      </c>
      <c r="F19" s="506">
        <v>957311.82318342512</v>
      </c>
      <c r="G19" s="499">
        <v>109574.51640694846</v>
      </c>
      <c r="H19" s="500">
        <v>109574.51640694846</v>
      </c>
      <c r="I19" s="501">
        <v>0</v>
      </c>
      <c r="J19" s="501"/>
      <c r="K19" s="507">
        <f t="shared" si="1"/>
        <v>109574.51640694846</v>
      </c>
      <c r="L19" s="505">
        <f t="shared" si="2"/>
        <v>0</v>
      </c>
      <c r="M19" s="507">
        <f t="shared" si="3"/>
        <v>109574.51640694846</v>
      </c>
      <c r="N19" s="505">
        <f t="shared" si="4"/>
        <v>0</v>
      </c>
      <c r="O19" s="505">
        <f t="shared" si="5"/>
        <v>0</v>
      </c>
      <c r="P19" s="279"/>
      <c r="R19" s="244"/>
      <c r="S19" s="244"/>
      <c r="T19" s="244"/>
      <c r="U19" s="244"/>
    </row>
    <row r="20" spans="2:21" ht="12.5">
      <c r="B20" s="145" t="str">
        <f t="shared" si="6"/>
        <v>IU</v>
      </c>
      <c r="C20" s="496">
        <f>IF(D11="","-",+C19+1)</f>
        <v>2013</v>
      </c>
      <c r="D20" s="506">
        <v>943089.16318342497</v>
      </c>
      <c r="E20" s="499">
        <v>17053.169324992024</v>
      </c>
      <c r="F20" s="506">
        <v>926035.99385843298</v>
      </c>
      <c r="G20" s="499">
        <v>118214.46332464613</v>
      </c>
      <c r="H20" s="500">
        <v>118214.46332464613</v>
      </c>
      <c r="I20" s="501">
        <v>0</v>
      </c>
      <c r="J20" s="501"/>
      <c r="K20" s="507">
        <f t="shared" si="1"/>
        <v>118214.46332464613</v>
      </c>
      <c r="L20" s="505">
        <f t="shared" ref="L20:L25" si="7">IF(K20&lt;&gt;0,+G20-K20,0)</f>
        <v>0</v>
      </c>
      <c r="M20" s="507">
        <f t="shared" si="3"/>
        <v>118214.46332464613</v>
      </c>
      <c r="N20" s="505">
        <f>IF(M20&lt;&gt;0,+H20-M20,0)</f>
        <v>0</v>
      </c>
      <c r="O20" s="505">
        <f>+N20-L20</f>
        <v>0</v>
      </c>
      <c r="P20" s="279"/>
      <c r="R20" s="244"/>
      <c r="S20" s="244"/>
      <c r="T20" s="244"/>
      <c r="U20" s="244"/>
    </row>
    <row r="21" spans="2:21" ht="12.5">
      <c r="B21" s="145" t="str">
        <f t="shared" si="6"/>
        <v/>
      </c>
      <c r="C21" s="496">
        <f>IF(D12="","-",+C20+1)</f>
        <v>2014</v>
      </c>
      <c r="D21" s="506">
        <v>926035.99385843298</v>
      </c>
      <c r="E21" s="499">
        <v>17053.169324992024</v>
      </c>
      <c r="F21" s="506">
        <v>908982.82453344099</v>
      </c>
      <c r="G21" s="499">
        <v>117066.12014630614</v>
      </c>
      <c r="H21" s="500">
        <v>117066.12014630614</v>
      </c>
      <c r="I21" s="501">
        <v>0</v>
      </c>
      <c r="J21" s="501"/>
      <c r="K21" s="507">
        <f t="shared" si="1"/>
        <v>117066.12014630614</v>
      </c>
      <c r="L21" s="505">
        <f t="shared" si="7"/>
        <v>0</v>
      </c>
      <c r="M21" s="507">
        <f t="shared" si="3"/>
        <v>117066.12014630614</v>
      </c>
      <c r="N21" s="505">
        <f>IF(M21&lt;&gt;0,+H21-M21,0)</f>
        <v>0</v>
      </c>
      <c r="O21" s="505">
        <f>+N21-L21</f>
        <v>0</v>
      </c>
      <c r="P21" s="279"/>
      <c r="R21" s="244"/>
      <c r="S21" s="244"/>
      <c r="T21" s="244"/>
      <c r="U21" s="244"/>
    </row>
    <row r="22" spans="2:21" ht="12.5">
      <c r="B22" s="145" t="str">
        <f t="shared" si="6"/>
        <v/>
      </c>
      <c r="C22" s="496">
        <f>IF(D11="","-",+C21+1)</f>
        <v>2015</v>
      </c>
      <c r="D22" s="506">
        <v>908982.82453344099</v>
      </c>
      <c r="E22" s="499">
        <v>17053.169324992024</v>
      </c>
      <c r="F22" s="506">
        <v>891929.655208449</v>
      </c>
      <c r="G22" s="499">
        <v>108980.29004264352</v>
      </c>
      <c r="H22" s="500">
        <v>108980.29004264352</v>
      </c>
      <c r="I22" s="501">
        <v>0</v>
      </c>
      <c r="J22" s="501"/>
      <c r="K22" s="507">
        <f t="shared" si="1"/>
        <v>108980.29004264352</v>
      </c>
      <c r="L22" s="505">
        <f t="shared" si="7"/>
        <v>0</v>
      </c>
      <c r="M22" s="507">
        <f t="shared" si="3"/>
        <v>108980.29004264352</v>
      </c>
      <c r="N22" s="505">
        <f>IF(M22&lt;&gt;0,+H22-M22,0)</f>
        <v>0</v>
      </c>
      <c r="O22" s="505">
        <f>+N22-L22</f>
        <v>0</v>
      </c>
      <c r="P22" s="279"/>
      <c r="R22" s="244"/>
      <c r="S22" s="244"/>
      <c r="T22" s="244"/>
      <c r="U22" s="244"/>
    </row>
    <row r="23" spans="2:21" ht="12.5">
      <c r="B23" s="145" t="str">
        <f t="shared" si="6"/>
        <v/>
      </c>
      <c r="C23" s="496">
        <f>IF(D11="","-",+C22+1)</f>
        <v>2016</v>
      </c>
      <c r="D23" s="506">
        <v>891929.655208449</v>
      </c>
      <c r="E23" s="499">
        <v>20483.915040786436</v>
      </c>
      <c r="F23" s="506">
        <v>871445.7401676625</v>
      </c>
      <c r="G23" s="499">
        <v>114495.80398935861</v>
      </c>
      <c r="H23" s="500">
        <v>114495.80398935861</v>
      </c>
      <c r="I23" s="501">
        <f t="shared" si="0"/>
        <v>0</v>
      </c>
      <c r="J23" s="501"/>
      <c r="K23" s="507">
        <f>G23</f>
        <v>114495.80398935861</v>
      </c>
      <c r="L23" s="505">
        <f t="shared" si="7"/>
        <v>0</v>
      </c>
      <c r="M23" s="507">
        <f>H23</f>
        <v>114495.80398935861</v>
      </c>
      <c r="N23" s="505">
        <f t="shared" si="4"/>
        <v>0</v>
      </c>
      <c r="O23" s="505">
        <f t="shared" si="5"/>
        <v>0</v>
      </c>
      <c r="P23" s="279"/>
      <c r="R23" s="244"/>
      <c r="S23" s="244"/>
      <c r="T23" s="244"/>
      <c r="U23" s="244"/>
    </row>
    <row r="24" spans="2:21" ht="12.5">
      <c r="B24" s="145" t="str">
        <f t="shared" si="6"/>
        <v/>
      </c>
      <c r="C24" s="496">
        <f>IF(D11="","-",+C23+1)</f>
        <v>2017</v>
      </c>
      <c r="D24" s="506">
        <v>871445.7401676625</v>
      </c>
      <c r="E24" s="499">
        <v>19382.334130313378</v>
      </c>
      <c r="F24" s="506">
        <v>852063.40603734914</v>
      </c>
      <c r="G24" s="499">
        <v>114123.60807449113</v>
      </c>
      <c r="H24" s="500">
        <v>114123.60807449113</v>
      </c>
      <c r="I24" s="501">
        <f t="shared" si="0"/>
        <v>0</v>
      </c>
      <c r="J24" s="501"/>
      <c r="K24" s="507">
        <f>G24</f>
        <v>114123.60807449113</v>
      </c>
      <c r="L24" s="505">
        <f t="shared" si="7"/>
        <v>0</v>
      </c>
      <c r="M24" s="507">
        <f>H24</f>
        <v>114123.60807449113</v>
      </c>
      <c r="N24" s="505">
        <f>IF(M24&lt;&gt;0,+H24-M24,0)</f>
        <v>0</v>
      </c>
      <c r="O24" s="505">
        <f>+N24-L24</f>
        <v>0</v>
      </c>
      <c r="P24" s="279"/>
      <c r="R24" s="244"/>
      <c r="S24" s="244"/>
      <c r="T24" s="244"/>
      <c r="U24" s="244"/>
    </row>
    <row r="25" spans="2:21" ht="12.5">
      <c r="B25" s="145" t="str">
        <f t="shared" si="6"/>
        <v/>
      </c>
      <c r="C25" s="496">
        <f>IF(D11="","-",+C24+1)</f>
        <v>2018</v>
      </c>
      <c r="D25" s="506">
        <v>852063.40603734914</v>
      </c>
      <c r="E25" s="499">
        <v>24175.777145778226</v>
      </c>
      <c r="F25" s="506">
        <v>827887.62889157096</v>
      </c>
      <c r="G25" s="499">
        <v>109537.1548251974</v>
      </c>
      <c r="H25" s="500">
        <v>109537.1548251974</v>
      </c>
      <c r="I25" s="501">
        <f t="shared" si="0"/>
        <v>0</v>
      </c>
      <c r="J25" s="501"/>
      <c r="K25" s="507">
        <f>G25</f>
        <v>109537.1548251974</v>
      </c>
      <c r="L25" s="505">
        <f t="shared" si="7"/>
        <v>0</v>
      </c>
      <c r="M25" s="507">
        <f>H25</f>
        <v>109537.1548251974</v>
      </c>
      <c r="N25" s="505">
        <f>IF(M25&lt;&gt;0,+H25-M25,0)</f>
        <v>0</v>
      </c>
      <c r="O25" s="505">
        <f>+N25-L25</f>
        <v>0</v>
      </c>
      <c r="P25" s="279"/>
      <c r="R25" s="244"/>
      <c r="S25" s="244"/>
      <c r="T25" s="244"/>
      <c r="U25" s="244"/>
    </row>
    <row r="26" spans="2:21" ht="12.5">
      <c r="B26" s="145" t="str">
        <f t="shared" si="6"/>
        <v/>
      </c>
      <c r="C26" s="496">
        <f>IF(D11="","-",+C25+1)</f>
        <v>2019</v>
      </c>
      <c r="D26" s="509">
        <v>827887.62889157096</v>
      </c>
      <c r="E26" s="510">
        <v>29237.019226400858</v>
      </c>
      <c r="F26" s="511">
        <v>798650.60966517008</v>
      </c>
      <c r="G26" s="512">
        <v>113764.92954880837</v>
      </c>
      <c r="H26" s="478">
        <v>113764.92954880837</v>
      </c>
      <c r="I26" s="501">
        <f t="shared" si="0"/>
        <v>0</v>
      </c>
      <c r="J26" s="501"/>
      <c r="K26" s="507">
        <f>G26</f>
        <v>113764.92954880837</v>
      </c>
      <c r="L26" s="505">
        <f t="shared" ref="L26" si="8">IF(K26&lt;&gt;0,+G26-K26,0)</f>
        <v>0</v>
      </c>
      <c r="M26" s="507">
        <f>H26</f>
        <v>113764.92954880837</v>
      </c>
      <c r="N26" s="505">
        <f>IF(M26&lt;&gt;0,+H26-M26,0)</f>
        <v>0</v>
      </c>
      <c r="O26" s="505">
        <f>+N26-L26</f>
        <v>0</v>
      </c>
      <c r="P26" s="279"/>
      <c r="R26" s="244"/>
      <c r="S26" s="244"/>
      <c r="T26" s="244"/>
      <c r="U26" s="244"/>
    </row>
    <row r="27" spans="2:21" ht="12.5">
      <c r="B27" s="145" t="str">
        <f t="shared" si="6"/>
        <v/>
      </c>
      <c r="C27" s="496">
        <f>IF(D11="","-",+C26+1)</f>
        <v>2020</v>
      </c>
      <c r="D27" s="509">
        <f>IF(F26+SUM(E$17:E26)=D$10,F26,D$10-SUM(E$17:E26))</f>
        <v>798650.60966517008</v>
      </c>
      <c r="E27" s="510">
        <f>IF(+I14&lt;F26,I14,D27)</f>
        <v>24043.349756097559</v>
      </c>
      <c r="F27" s="511">
        <f t="shared" ref="F27:F49" si="9">+D27-E27</f>
        <v>774607.25990907254</v>
      </c>
      <c r="G27" s="512">
        <f t="shared" ref="G27:G73" si="10">(D27+F27)/2*I$12+E27</f>
        <v>116465.19115112489</v>
      </c>
      <c r="H27" s="478">
        <f t="shared" ref="H27:H73" si="11">+(D27+F27)/2*I$13+E27</f>
        <v>116465.19115112489</v>
      </c>
      <c r="I27" s="501">
        <f t="shared" si="0"/>
        <v>0</v>
      </c>
      <c r="J27" s="501"/>
      <c r="K27" s="513"/>
      <c r="L27" s="505">
        <f t="shared" si="2"/>
        <v>0</v>
      </c>
      <c r="M27" s="513"/>
      <c r="N27" s="505">
        <f t="shared" si="4"/>
        <v>0</v>
      </c>
      <c r="O27" s="505">
        <f t="shared" si="5"/>
        <v>0</v>
      </c>
      <c r="P27" s="279"/>
      <c r="R27" s="244"/>
      <c r="S27" s="244"/>
      <c r="T27" s="244"/>
      <c r="U27" s="244"/>
    </row>
    <row r="28" spans="2:21" ht="12.5">
      <c r="B28" s="145" t="str">
        <f t="shared" si="6"/>
        <v/>
      </c>
      <c r="C28" s="496">
        <f>IF(D11="","-",+C27+1)</f>
        <v>2021</v>
      </c>
      <c r="D28" s="509">
        <f>IF(F27+SUM(E$17:E27)=D$10,F27,D$10-SUM(E$17:E27))</f>
        <v>774607.25990907254</v>
      </c>
      <c r="E28" s="510">
        <f>IF(+I14&lt;F27,I14,D28)</f>
        <v>24043.349756097559</v>
      </c>
      <c r="F28" s="511">
        <f t="shared" si="9"/>
        <v>750563.910152975</v>
      </c>
      <c r="G28" s="512">
        <f t="shared" si="10"/>
        <v>113640.31329640347</v>
      </c>
      <c r="H28" s="478">
        <f t="shared" si="11"/>
        <v>113640.31329640347</v>
      </c>
      <c r="I28" s="501">
        <f t="shared" si="0"/>
        <v>0</v>
      </c>
      <c r="J28" s="501"/>
      <c r="K28" s="513"/>
      <c r="L28" s="505">
        <f t="shared" si="2"/>
        <v>0</v>
      </c>
      <c r="M28" s="513"/>
      <c r="N28" s="505">
        <f t="shared" si="4"/>
        <v>0</v>
      </c>
      <c r="O28" s="505">
        <f t="shared" si="5"/>
        <v>0</v>
      </c>
      <c r="P28" s="279"/>
      <c r="R28" s="244"/>
      <c r="S28" s="244"/>
      <c r="T28" s="244"/>
      <c r="U28" s="244"/>
    </row>
    <row r="29" spans="2:21" ht="12.5">
      <c r="B29" s="145" t="str">
        <f t="shared" si="6"/>
        <v/>
      </c>
      <c r="C29" s="496">
        <f>IF(D11="","-",+C28+1)</f>
        <v>2022</v>
      </c>
      <c r="D29" s="509">
        <f>IF(F28+SUM(E$17:E28)=D$10,F28,D$10-SUM(E$17:E28))</f>
        <v>750563.910152975</v>
      </c>
      <c r="E29" s="510">
        <f>IF(+I14&lt;F28,I14,D29)</f>
        <v>24043.349756097559</v>
      </c>
      <c r="F29" s="511">
        <f t="shared" si="9"/>
        <v>726520.56039687747</v>
      </c>
      <c r="G29" s="512">
        <f t="shared" si="10"/>
        <v>110815.43544168212</v>
      </c>
      <c r="H29" s="478">
        <f t="shared" si="11"/>
        <v>110815.43544168212</v>
      </c>
      <c r="I29" s="501">
        <f t="shared" si="0"/>
        <v>0</v>
      </c>
      <c r="J29" s="501"/>
      <c r="K29" s="513"/>
      <c r="L29" s="505">
        <f t="shared" si="2"/>
        <v>0</v>
      </c>
      <c r="M29" s="513"/>
      <c r="N29" s="505">
        <f t="shared" si="4"/>
        <v>0</v>
      </c>
      <c r="O29" s="505">
        <f t="shared" si="5"/>
        <v>0</v>
      </c>
      <c r="P29" s="279"/>
      <c r="R29" s="244"/>
      <c r="S29" s="244"/>
      <c r="T29" s="244"/>
      <c r="U29" s="244"/>
    </row>
    <row r="30" spans="2:21" ht="12.5">
      <c r="B30" s="145" t="str">
        <f t="shared" si="6"/>
        <v/>
      </c>
      <c r="C30" s="496">
        <f>IF(D11="","-",+C29+1)</f>
        <v>2023</v>
      </c>
      <c r="D30" s="509">
        <f>IF(F29+SUM(E$17:E29)=D$10,F29,D$10-SUM(E$17:E29))</f>
        <v>726520.56039687747</v>
      </c>
      <c r="E30" s="510">
        <f>IF(+I14&lt;F29,I14,D30)</f>
        <v>24043.349756097559</v>
      </c>
      <c r="F30" s="511">
        <f t="shared" si="9"/>
        <v>702477.21064077993</v>
      </c>
      <c r="G30" s="512">
        <f t="shared" si="10"/>
        <v>107990.5575869607</v>
      </c>
      <c r="H30" s="478">
        <f t="shared" si="11"/>
        <v>107990.5575869607</v>
      </c>
      <c r="I30" s="501">
        <f t="shared" si="0"/>
        <v>0</v>
      </c>
      <c r="J30" s="501"/>
      <c r="K30" s="513"/>
      <c r="L30" s="505">
        <f t="shared" si="2"/>
        <v>0</v>
      </c>
      <c r="M30" s="513"/>
      <c r="N30" s="505">
        <f t="shared" si="4"/>
        <v>0</v>
      </c>
      <c r="O30" s="505">
        <f t="shared" si="5"/>
        <v>0</v>
      </c>
      <c r="P30" s="279"/>
      <c r="R30" s="244"/>
      <c r="S30" s="244"/>
      <c r="T30" s="244"/>
      <c r="U30" s="244"/>
    </row>
    <row r="31" spans="2:21" ht="12.5">
      <c r="B31" s="145" t="str">
        <f t="shared" si="6"/>
        <v/>
      </c>
      <c r="C31" s="496">
        <f>IF(D11="","-",+C30+1)</f>
        <v>2024</v>
      </c>
      <c r="D31" s="509">
        <f>IF(F30+SUM(E$17:E30)=D$10,F30,D$10-SUM(E$17:E30))</f>
        <v>702477.21064077993</v>
      </c>
      <c r="E31" s="510">
        <f>IF(+I14&lt;F30,I14,D31)</f>
        <v>24043.349756097559</v>
      </c>
      <c r="F31" s="511">
        <f t="shared" si="9"/>
        <v>678433.86088468239</v>
      </c>
      <c r="G31" s="512">
        <f t="shared" si="10"/>
        <v>105165.67973223931</v>
      </c>
      <c r="H31" s="478">
        <f t="shared" si="11"/>
        <v>105165.67973223931</v>
      </c>
      <c r="I31" s="501">
        <f t="shared" si="0"/>
        <v>0</v>
      </c>
      <c r="J31" s="501"/>
      <c r="K31" s="513"/>
      <c r="L31" s="505">
        <f t="shared" si="2"/>
        <v>0</v>
      </c>
      <c r="M31" s="513"/>
      <c r="N31" s="505">
        <f t="shared" si="4"/>
        <v>0</v>
      </c>
      <c r="O31" s="505">
        <f t="shared" si="5"/>
        <v>0</v>
      </c>
      <c r="P31" s="279"/>
      <c r="Q31" s="221"/>
      <c r="R31" s="279"/>
      <c r="S31" s="279"/>
      <c r="T31" s="279"/>
      <c r="U31" s="244"/>
    </row>
    <row r="32" spans="2:21" ht="12.5">
      <c r="B32" s="145" t="str">
        <f t="shared" si="6"/>
        <v/>
      </c>
      <c r="C32" s="496">
        <f>IF(D12="","-",+C31+1)</f>
        <v>2025</v>
      </c>
      <c r="D32" s="509">
        <f>IF(F31+SUM(E$17:E31)=D$10,F31,D$10-SUM(E$17:E31))</f>
        <v>678433.86088468239</v>
      </c>
      <c r="E32" s="510">
        <f>IF(+I14&lt;F31,I14,D32)</f>
        <v>24043.349756097559</v>
      </c>
      <c r="F32" s="511">
        <f>+D32-E32</f>
        <v>654390.51112858485</v>
      </c>
      <c r="G32" s="512">
        <f t="shared" si="10"/>
        <v>102340.80187751792</v>
      </c>
      <c r="H32" s="478">
        <f t="shared" si="11"/>
        <v>102340.80187751792</v>
      </c>
      <c r="I32" s="501">
        <f>H32-G32</f>
        <v>0</v>
      </c>
      <c r="J32" s="501"/>
      <c r="K32" s="513"/>
      <c r="L32" s="505"/>
      <c r="M32" s="513"/>
      <c r="N32" s="505"/>
      <c r="O32" s="505"/>
      <c r="P32" s="279"/>
      <c r="Q32" s="221"/>
      <c r="R32" s="279"/>
      <c r="S32" s="279"/>
      <c r="T32" s="279"/>
      <c r="U32" s="244"/>
    </row>
    <row r="33" spans="2:21" ht="12.5">
      <c r="B33" s="145" t="str">
        <f t="shared" si="6"/>
        <v/>
      </c>
      <c r="C33" s="496">
        <f>IF(D13="","-",+C32+1)</f>
        <v>2026</v>
      </c>
      <c r="D33" s="509">
        <f>IF(F32+SUM(E$17:E32)=D$10,F32,D$10-SUM(E$17:E32))</f>
        <v>654390.51112858485</v>
      </c>
      <c r="E33" s="510">
        <f>IF(+I14&lt;F31,I14,D33)</f>
        <v>24043.349756097559</v>
      </c>
      <c r="F33" s="511">
        <f t="shared" si="9"/>
        <v>630347.16137248732</v>
      </c>
      <c r="G33" s="512">
        <f t="shared" si="10"/>
        <v>99515.924022796535</v>
      </c>
      <c r="H33" s="478">
        <f t="shared" si="11"/>
        <v>99515.924022796535</v>
      </c>
      <c r="I33" s="501">
        <f t="shared" si="0"/>
        <v>0</v>
      </c>
      <c r="J33" s="501"/>
      <c r="K33" s="513"/>
      <c r="L33" s="505">
        <f t="shared" si="2"/>
        <v>0</v>
      </c>
      <c r="M33" s="513"/>
      <c r="N33" s="505">
        <f t="shared" si="4"/>
        <v>0</v>
      </c>
      <c r="O33" s="505">
        <f t="shared" si="5"/>
        <v>0</v>
      </c>
      <c r="P33" s="279"/>
      <c r="R33" s="244"/>
      <c r="S33" s="244"/>
      <c r="T33" s="244"/>
      <c r="U33" s="244"/>
    </row>
    <row r="34" spans="2:21" ht="12.5">
      <c r="B34" s="145" t="str">
        <f t="shared" si="6"/>
        <v/>
      </c>
      <c r="C34" s="514">
        <f>IF(D11="","-",+C33+1)</f>
        <v>2027</v>
      </c>
      <c r="D34" s="582">
        <f>IF(F33+SUM(E$17:E33)=D$10,F33,D$10-SUM(E$17:E33))</f>
        <v>630347.16137248732</v>
      </c>
      <c r="E34" s="516">
        <f>IF(+I14&lt;F33,I14,D34)</f>
        <v>24043.349756097559</v>
      </c>
      <c r="F34" s="517">
        <f t="shared" si="9"/>
        <v>606303.81161638978</v>
      </c>
      <c r="G34" s="518">
        <f t="shared" si="10"/>
        <v>96691.046168075147</v>
      </c>
      <c r="H34" s="519">
        <f t="shared" si="11"/>
        <v>96691.046168075147</v>
      </c>
      <c r="I34" s="520">
        <f t="shared" si="0"/>
        <v>0</v>
      </c>
      <c r="J34" s="520"/>
      <c r="K34" s="521"/>
      <c r="L34" s="522">
        <f t="shared" si="2"/>
        <v>0</v>
      </c>
      <c r="M34" s="521"/>
      <c r="N34" s="522">
        <f t="shared" si="4"/>
        <v>0</v>
      </c>
      <c r="O34" s="522">
        <f t="shared" si="5"/>
        <v>0</v>
      </c>
      <c r="P34" s="523"/>
      <c r="Q34" s="217"/>
      <c r="R34" s="523"/>
      <c r="S34" s="523"/>
      <c r="T34" s="523"/>
      <c r="U34" s="244"/>
    </row>
    <row r="35" spans="2:21" ht="12.5">
      <c r="B35" s="145" t="str">
        <f t="shared" si="6"/>
        <v/>
      </c>
      <c r="C35" s="496">
        <f>IF(D11="","-",+C34+1)</f>
        <v>2028</v>
      </c>
      <c r="D35" s="509">
        <f>IF(F34+SUM(E$17:E34)=D$10,F34,D$10-SUM(E$17:E34))</f>
        <v>606303.81161638978</v>
      </c>
      <c r="E35" s="510">
        <f>IF(+I14&lt;F34,I14,D35)</f>
        <v>24043.349756097559</v>
      </c>
      <c r="F35" s="511">
        <f t="shared" si="9"/>
        <v>582260.46186029224</v>
      </c>
      <c r="G35" s="512">
        <f t="shared" si="10"/>
        <v>93866.168313353759</v>
      </c>
      <c r="H35" s="478">
        <f t="shared" si="11"/>
        <v>93866.168313353759</v>
      </c>
      <c r="I35" s="501">
        <f t="shared" si="0"/>
        <v>0</v>
      </c>
      <c r="J35" s="501"/>
      <c r="K35" s="513"/>
      <c r="L35" s="505">
        <f t="shared" si="2"/>
        <v>0</v>
      </c>
      <c r="M35" s="513"/>
      <c r="N35" s="505">
        <f t="shared" si="4"/>
        <v>0</v>
      </c>
      <c r="O35" s="505">
        <f t="shared" si="5"/>
        <v>0</v>
      </c>
      <c r="P35" s="279"/>
      <c r="R35" s="244"/>
      <c r="S35" s="244"/>
      <c r="T35" s="244"/>
      <c r="U35" s="244"/>
    </row>
    <row r="36" spans="2:21" ht="12.5">
      <c r="B36" s="145" t="str">
        <f t="shared" si="6"/>
        <v/>
      </c>
      <c r="C36" s="496">
        <f>IF(D11="","-",+C35+1)</f>
        <v>2029</v>
      </c>
      <c r="D36" s="509">
        <f>IF(F35+SUM(E$17:E35)=D$10,F35,D$10-SUM(E$17:E35))</f>
        <v>582260.46186029224</v>
      </c>
      <c r="E36" s="510">
        <f>IF(+I14&lt;F35,I14,D36)</f>
        <v>24043.349756097559</v>
      </c>
      <c r="F36" s="511">
        <f t="shared" si="9"/>
        <v>558217.1121041947</v>
      </c>
      <c r="G36" s="512">
        <f t="shared" si="10"/>
        <v>91041.290458632371</v>
      </c>
      <c r="H36" s="478">
        <f t="shared" si="11"/>
        <v>91041.290458632371</v>
      </c>
      <c r="I36" s="501">
        <f t="shared" si="0"/>
        <v>0</v>
      </c>
      <c r="J36" s="501"/>
      <c r="K36" s="513"/>
      <c r="L36" s="505">
        <f t="shared" si="2"/>
        <v>0</v>
      </c>
      <c r="M36" s="513"/>
      <c r="N36" s="505">
        <f t="shared" si="4"/>
        <v>0</v>
      </c>
      <c r="O36" s="505">
        <f t="shared" si="5"/>
        <v>0</v>
      </c>
      <c r="P36" s="279"/>
      <c r="R36" s="244"/>
      <c r="S36" s="244"/>
      <c r="T36" s="244"/>
      <c r="U36" s="244"/>
    </row>
    <row r="37" spans="2:21" ht="12.5">
      <c r="B37" s="145" t="str">
        <f t="shared" si="6"/>
        <v/>
      </c>
      <c r="C37" s="496">
        <f>IF(D11="","-",+C36+1)</f>
        <v>2030</v>
      </c>
      <c r="D37" s="509">
        <f>IF(F36+SUM(E$17:E36)=D$10,F36,D$10-SUM(E$17:E36))</f>
        <v>558217.1121041947</v>
      </c>
      <c r="E37" s="510">
        <f>IF(+I14&lt;F36,I14,D37)</f>
        <v>24043.349756097559</v>
      </c>
      <c r="F37" s="511">
        <f t="shared" si="9"/>
        <v>534173.76234809717</v>
      </c>
      <c r="G37" s="512">
        <f t="shared" si="10"/>
        <v>88216.412603910983</v>
      </c>
      <c r="H37" s="478">
        <f t="shared" si="11"/>
        <v>88216.412603910983</v>
      </c>
      <c r="I37" s="501">
        <f t="shared" si="0"/>
        <v>0</v>
      </c>
      <c r="J37" s="501"/>
      <c r="K37" s="513"/>
      <c r="L37" s="505">
        <f t="shared" si="2"/>
        <v>0</v>
      </c>
      <c r="M37" s="513"/>
      <c r="N37" s="505">
        <f t="shared" si="4"/>
        <v>0</v>
      </c>
      <c r="O37" s="505">
        <f t="shared" si="5"/>
        <v>0</v>
      </c>
      <c r="P37" s="279"/>
      <c r="R37" s="244"/>
      <c r="S37" s="244"/>
      <c r="T37" s="244"/>
      <c r="U37" s="244"/>
    </row>
    <row r="38" spans="2:21" ht="12.5">
      <c r="B38" s="145" t="str">
        <f t="shared" si="6"/>
        <v/>
      </c>
      <c r="C38" s="496">
        <f>IF(D11="","-",+C37+1)</f>
        <v>2031</v>
      </c>
      <c r="D38" s="509">
        <f>IF(F37+SUM(E$17:E37)=D$10,F37,D$10-SUM(E$17:E37))</f>
        <v>534173.76234809717</v>
      </c>
      <c r="E38" s="510">
        <f>IF(+I14&lt;F37,I14,D38)</f>
        <v>24043.349756097559</v>
      </c>
      <c r="F38" s="511">
        <f t="shared" si="9"/>
        <v>510130.41259199963</v>
      </c>
      <c r="G38" s="512">
        <f t="shared" si="10"/>
        <v>85391.534749189595</v>
      </c>
      <c r="H38" s="478">
        <f t="shared" si="11"/>
        <v>85391.534749189595</v>
      </c>
      <c r="I38" s="501">
        <f t="shared" si="0"/>
        <v>0</v>
      </c>
      <c r="J38" s="501"/>
      <c r="K38" s="513"/>
      <c r="L38" s="505">
        <f t="shared" si="2"/>
        <v>0</v>
      </c>
      <c r="M38" s="513"/>
      <c r="N38" s="505">
        <f t="shared" si="4"/>
        <v>0</v>
      </c>
      <c r="O38" s="505">
        <f t="shared" si="5"/>
        <v>0</v>
      </c>
      <c r="P38" s="279"/>
      <c r="R38" s="244"/>
      <c r="S38" s="244"/>
      <c r="T38" s="244"/>
      <c r="U38" s="244"/>
    </row>
    <row r="39" spans="2:21" ht="12.5">
      <c r="B39" s="145" t="str">
        <f t="shared" si="6"/>
        <v/>
      </c>
      <c r="C39" s="496">
        <f>IF(D11="","-",+C38+1)</f>
        <v>2032</v>
      </c>
      <c r="D39" s="509">
        <f>IF(F38+SUM(E$17:E38)=D$10,F38,D$10-SUM(E$17:E38))</f>
        <v>510130.41259199963</v>
      </c>
      <c r="E39" s="510">
        <f>IF(+I14&lt;F38,I14,D39)</f>
        <v>24043.349756097559</v>
      </c>
      <c r="F39" s="511">
        <f t="shared" si="9"/>
        <v>486087.06283590209</v>
      </c>
      <c r="G39" s="512">
        <f t="shared" si="10"/>
        <v>82566.656894468208</v>
      </c>
      <c r="H39" s="478">
        <f t="shared" si="11"/>
        <v>82566.656894468208</v>
      </c>
      <c r="I39" s="501">
        <f t="shared" si="0"/>
        <v>0</v>
      </c>
      <c r="J39" s="501"/>
      <c r="K39" s="513"/>
      <c r="L39" s="505">
        <f t="shared" si="2"/>
        <v>0</v>
      </c>
      <c r="M39" s="513"/>
      <c r="N39" s="505">
        <f t="shared" si="4"/>
        <v>0</v>
      </c>
      <c r="O39" s="505">
        <f t="shared" si="5"/>
        <v>0</v>
      </c>
      <c r="P39" s="279"/>
      <c r="R39" s="244"/>
      <c r="S39" s="244"/>
      <c r="T39" s="244"/>
      <c r="U39" s="244"/>
    </row>
    <row r="40" spans="2:21" ht="12.5">
      <c r="B40" s="145" t="str">
        <f t="shared" si="6"/>
        <v/>
      </c>
      <c r="C40" s="496">
        <f>IF(D11="","-",+C39+1)</f>
        <v>2033</v>
      </c>
      <c r="D40" s="509">
        <f>IF(F39+SUM(E$17:E39)=D$10,F39,D$10-SUM(E$17:E39))</f>
        <v>486087.06283590209</v>
      </c>
      <c r="E40" s="510">
        <f>IF(+I14&lt;F39,I14,D40)</f>
        <v>24043.349756097559</v>
      </c>
      <c r="F40" s="511">
        <f t="shared" si="9"/>
        <v>462043.71307980455</v>
      </c>
      <c r="G40" s="512">
        <f t="shared" si="10"/>
        <v>79741.779039746805</v>
      </c>
      <c r="H40" s="478">
        <f t="shared" si="11"/>
        <v>79741.779039746805</v>
      </c>
      <c r="I40" s="501">
        <f t="shared" si="0"/>
        <v>0</v>
      </c>
      <c r="J40" s="501"/>
      <c r="K40" s="513"/>
      <c r="L40" s="505">
        <f t="shared" si="2"/>
        <v>0</v>
      </c>
      <c r="M40" s="513"/>
      <c r="N40" s="505">
        <f t="shared" si="4"/>
        <v>0</v>
      </c>
      <c r="O40" s="505">
        <f t="shared" si="5"/>
        <v>0</v>
      </c>
      <c r="P40" s="279"/>
      <c r="R40" s="244"/>
      <c r="S40" s="244"/>
      <c r="T40" s="244"/>
      <c r="U40" s="244"/>
    </row>
    <row r="41" spans="2:21" ht="12.5">
      <c r="B41" s="145" t="str">
        <f t="shared" si="6"/>
        <v/>
      </c>
      <c r="C41" s="496">
        <f>IF(D12="","-",+C40+1)</f>
        <v>2034</v>
      </c>
      <c r="D41" s="509">
        <f>IF(F40+SUM(E$17:E40)=D$10,F40,D$10-SUM(E$17:E40))</f>
        <v>462043.71307980455</v>
      </c>
      <c r="E41" s="510">
        <f>IF(+I14&lt;F40,I14,D41)</f>
        <v>24043.349756097559</v>
      </c>
      <c r="F41" s="511">
        <f t="shared" si="9"/>
        <v>438000.36332370702</v>
      </c>
      <c r="G41" s="512">
        <f t="shared" si="10"/>
        <v>76916.901185025417</v>
      </c>
      <c r="H41" s="478">
        <f t="shared" si="11"/>
        <v>76916.901185025417</v>
      </c>
      <c r="I41" s="501">
        <f t="shared" si="0"/>
        <v>0</v>
      </c>
      <c r="J41" s="501"/>
      <c r="K41" s="513"/>
      <c r="L41" s="505">
        <f t="shared" si="2"/>
        <v>0</v>
      </c>
      <c r="M41" s="513"/>
      <c r="N41" s="505">
        <f t="shared" si="4"/>
        <v>0</v>
      </c>
      <c r="O41" s="505">
        <f t="shared" si="5"/>
        <v>0</v>
      </c>
      <c r="P41" s="279"/>
      <c r="R41" s="244"/>
      <c r="S41" s="244"/>
      <c r="T41" s="244"/>
      <c r="U41" s="244"/>
    </row>
    <row r="42" spans="2:21" ht="12.5">
      <c r="B42" s="145" t="str">
        <f t="shared" si="6"/>
        <v/>
      </c>
      <c r="C42" s="496">
        <f>IF(D13="","-",+C41+1)</f>
        <v>2035</v>
      </c>
      <c r="D42" s="509">
        <f>IF(F41+SUM(E$17:E41)=D$10,F41,D$10-SUM(E$17:E41))</f>
        <v>438000.36332370702</v>
      </c>
      <c r="E42" s="510">
        <f>IF(+I14&lt;F41,I14,D42)</f>
        <v>24043.349756097559</v>
      </c>
      <c r="F42" s="511">
        <f t="shared" si="9"/>
        <v>413957.01356760948</v>
      </c>
      <c r="G42" s="512">
        <f t="shared" si="10"/>
        <v>74092.02333030403</v>
      </c>
      <c r="H42" s="478">
        <f t="shared" si="11"/>
        <v>74092.02333030403</v>
      </c>
      <c r="I42" s="501">
        <f t="shared" si="0"/>
        <v>0</v>
      </c>
      <c r="J42" s="501"/>
      <c r="K42" s="513"/>
      <c r="L42" s="505">
        <f t="shared" si="2"/>
        <v>0</v>
      </c>
      <c r="M42" s="513"/>
      <c r="N42" s="505">
        <f t="shared" si="4"/>
        <v>0</v>
      </c>
      <c r="O42" s="505">
        <f t="shared" si="5"/>
        <v>0</v>
      </c>
      <c r="P42" s="279"/>
      <c r="R42" s="244"/>
      <c r="S42" s="244"/>
      <c r="T42" s="244"/>
      <c r="U42" s="244"/>
    </row>
    <row r="43" spans="2:21" ht="12.5">
      <c r="B43" s="145" t="str">
        <f t="shared" si="6"/>
        <v/>
      </c>
      <c r="C43" s="496">
        <f>IF(D11="","-",+C42+1)</f>
        <v>2036</v>
      </c>
      <c r="D43" s="509">
        <f>IF(F42+SUM(E$17:E42)=D$10,F42,D$10-SUM(E$17:E42))</f>
        <v>413957.01356760948</v>
      </c>
      <c r="E43" s="510">
        <f>IF(+I14&lt;F42,I14,D43)</f>
        <v>24043.349756097559</v>
      </c>
      <c r="F43" s="511">
        <f t="shared" si="9"/>
        <v>389913.66381151194</v>
      </c>
      <c r="G43" s="512">
        <f t="shared" si="10"/>
        <v>71267.145475582642</v>
      </c>
      <c r="H43" s="478">
        <f t="shared" si="11"/>
        <v>71267.145475582642</v>
      </c>
      <c r="I43" s="501">
        <f t="shared" si="0"/>
        <v>0</v>
      </c>
      <c r="J43" s="501"/>
      <c r="K43" s="513"/>
      <c r="L43" s="505">
        <f t="shared" si="2"/>
        <v>0</v>
      </c>
      <c r="M43" s="513"/>
      <c r="N43" s="505">
        <f t="shared" si="4"/>
        <v>0</v>
      </c>
      <c r="O43" s="505">
        <f t="shared" si="5"/>
        <v>0</v>
      </c>
      <c r="P43" s="279"/>
      <c r="R43" s="244"/>
      <c r="S43" s="244"/>
      <c r="T43" s="244"/>
      <c r="U43" s="244"/>
    </row>
    <row r="44" spans="2:21" ht="12.5">
      <c r="B44" s="145" t="str">
        <f t="shared" si="6"/>
        <v/>
      </c>
      <c r="C44" s="496">
        <f>IF(D11="","-",+C43+1)</f>
        <v>2037</v>
      </c>
      <c r="D44" s="509">
        <f>IF(F43+SUM(E$17:E43)=D$10,F43,D$10-SUM(E$17:E43))</f>
        <v>389913.66381151194</v>
      </c>
      <c r="E44" s="510">
        <f>IF(+I14&lt;F43,I14,D44)</f>
        <v>24043.349756097559</v>
      </c>
      <c r="F44" s="511">
        <f t="shared" si="9"/>
        <v>365870.3140554144</v>
      </c>
      <c r="G44" s="512">
        <f t="shared" si="10"/>
        <v>68442.267620861239</v>
      </c>
      <c r="H44" s="478">
        <f t="shared" si="11"/>
        <v>68442.267620861239</v>
      </c>
      <c r="I44" s="501">
        <f t="shared" si="0"/>
        <v>0</v>
      </c>
      <c r="J44" s="501"/>
      <c r="K44" s="513"/>
      <c r="L44" s="505">
        <f t="shared" si="2"/>
        <v>0</v>
      </c>
      <c r="M44" s="513"/>
      <c r="N44" s="505">
        <f t="shared" si="4"/>
        <v>0</v>
      </c>
      <c r="O44" s="505">
        <f t="shared" si="5"/>
        <v>0</v>
      </c>
      <c r="P44" s="279"/>
      <c r="R44" s="244"/>
      <c r="S44" s="244"/>
      <c r="T44" s="244"/>
      <c r="U44" s="244"/>
    </row>
    <row r="45" spans="2:21" ht="12.5">
      <c r="B45" s="145" t="str">
        <f t="shared" si="6"/>
        <v/>
      </c>
      <c r="C45" s="496">
        <f>IF(D11="","-",+C44+1)</f>
        <v>2038</v>
      </c>
      <c r="D45" s="509">
        <f>IF(F44+SUM(E$17:E44)=D$10,F44,D$10-SUM(E$17:E44))</f>
        <v>365870.3140554144</v>
      </c>
      <c r="E45" s="510">
        <f>IF(+I14&lt;F44,I14,D45)</f>
        <v>24043.349756097559</v>
      </c>
      <c r="F45" s="511">
        <f t="shared" si="9"/>
        <v>341826.96429931687</v>
      </c>
      <c r="G45" s="512">
        <f t="shared" si="10"/>
        <v>65617.389766139851</v>
      </c>
      <c r="H45" s="478">
        <f t="shared" si="11"/>
        <v>65617.389766139851</v>
      </c>
      <c r="I45" s="501">
        <f t="shared" si="0"/>
        <v>0</v>
      </c>
      <c r="J45" s="501"/>
      <c r="K45" s="513"/>
      <c r="L45" s="505">
        <f t="shared" si="2"/>
        <v>0</v>
      </c>
      <c r="M45" s="513"/>
      <c r="N45" s="505">
        <f t="shared" si="4"/>
        <v>0</v>
      </c>
      <c r="O45" s="505">
        <f t="shared" si="5"/>
        <v>0</v>
      </c>
      <c r="P45" s="279"/>
      <c r="R45" s="244"/>
      <c r="S45" s="244"/>
      <c r="T45" s="244"/>
      <c r="U45" s="244"/>
    </row>
    <row r="46" spans="2:21" ht="12.5">
      <c r="B46" s="145" t="str">
        <f t="shared" si="6"/>
        <v/>
      </c>
      <c r="C46" s="496">
        <f>IF(D11="","-",+C45+1)</f>
        <v>2039</v>
      </c>
      <c r="D46" s="509">
        <f>IF(F45+SUM(E$17:E45)=D$10,F45,D$10-SUM(E$17:E45))</f>
        <v>341826.96429931687</v>
      </c>
      <c r="E46" s="510">
        <f>IF(+I14&lt;F45,I14,D46)</f>
        <v>24043.349756097559</v>
      </c>
      <c r="F46" s="511">
        <f t="shared" si="9"/>
        <v>317783.61454321933</v>
      </c>
      <c r="G46" s="512">
        <f t="shared" si="10"/>
        <v>62792.511911418471</v>
      </c>
      <c r="H46" s="478">
        <f t="shared" si="11"/>
        <v>62792.511911418471</v>
      </c>
      <c r="I46" s="501">
        <f t="shared" si="0"/>
        <v>0</v>
      </c>
      <c r="J46" s="501"/>
      <c r="K46" s="513"/>
      <c r="L46" s="505">
        <f t="shared" si="2"/>
        <v>0</v>
      </c>
      <c r="M46" s="513"/>
      <c r="N46" s="505">
        <f t="shared" si="4"/>
        <v>0</v>
      </c>
      <c r="O46" s="505">
        <f t="shared" si="5"/>
        <v>0</v>
      </c>
      <c r="P46" s="279"/>
      <c r="R46" s="244"/>
      <c r="S46" s="244"/>
      <c r="T46" s="244"/>
      <c r="U46" s="244"/>
    </row>
    <row r="47" spans="2:21" ht="12.5">
      <c r="B47" s="145" t="str">
        <f t="shared" si="6"/>
        <v/>
      </c>
      <c r="C47" s="496">
        <f>IF(D11="","-",+C46+1)</f>
        <v>2040</v>
      </c>
      <c r="D47" s="509">
        <f>IF(F46+SUM(E$17:E46)=D$10,F46,D$10-SUM(E$17:E46))</f>
        <v>317783.61454321933</v>
      </c>
      <c r="E47" s="510">
        <f>IF(+I14&lt;F46,I14,D47)</f>
        <v>24043.349756097559</v>
      </c>
      <c r="F47" s="511">
        <f t="shared" si="9"/>
        <v>293740.26478712179</v>
      </c>
      <c r="G47" s="512">
        <f t="shared" si="10"/>
        <v>59967.634056697076</v>
      </c>
      <c r="H47" s="478">
        <f t="shared" si="11"/>
        <v>59967.634056697076</v>
      </c>
      <c r="I47" s="501">
        <f t="shared" si="0"/>
        <v>0</v>
      </c>
      <c r="J47" s="501"/>
      <c r="K47" s="513"/>
      <c r="L47" s="505">
        <f t="shared" si="2"/>
        <v>0</v>
      </c>
      <c r="M47" s="513"/>
      <c r="N47" s="505">
        <f t="shared" si="4"/>
        <v>0</v>
      </c>
      <c r="O47" s="505">
        <f t="shared" si="5"/>
        <v>0</v>
      </c>
      <c r="P47" s="279"/>
      <c r="R47" s="244"/>
      <c r="S47" s="244"/>
      <c r="T47" s="244"/>
      <c r="U47" s="244"/>
    </row>
    <row r="48" spans="2:21" ht="12.5">
      <c r="B48" s="145" t="str">
        <f t="shared" si="6"/>
        <v/>
      </c>
      <c r="C48" s="496">
        <f>IF(D11="","-",+C47+1)</f>
        <v>2041</v>
      </c>
      <c r="D48" s="509">
        <f>IF(F47+SUM(E$17:E47)=D$10,F47,D$10-SUM(E$17:E47))</f>
        <v>293740.26478712179</v>
      </c>
      <c r="E48" s="510">
        <f>IF(+I14&lt;F47,I14,D48)</f>
        <v>24043.349756097559</v>
      </c>
      <c r="F48" s="511">
        <f t="shared" si="9"/>
        <v>269696.91503102425</v>
      </c>
      <c r="G48" s="512">
        <f t="shared" si="10"/>
        <v>57142.756201975688</v>
      </c>
      <c r="H48" s="478">
        <f t="shared" si="11"/>
        <v>57142.756201975688</v>
      </c>
      <c r="I48" s="501">
        <f t="shared" si="0"/>
        <v>0</v>
      </c>
      <c r="J48" s="501"/>
      <c r="K48" s="513"/>
      <c r="L48" s="505">
        <f t="shared" si="2"/>
        <v>0</v>
      </c>
      <c r="M48" s="513"/>
      <c r="N48" s="505">
        <f t="shared" si="4"/>
        <v>0</v>
      </c>
      <c r="O48" s="505">
        <f t="shared" si="5"/>
        <v>0</v>
      </c>
      <c r="P48" s="279"/>
      <c r="R48" s="244"/>
      <c r="S48" s="244"/>
      <c r="T48" s="244"/>
      <c r="U48" s="244"/>
    </row>
    <row r="49" spans="2:21" ht="12.5">
      <c r="B49" s="145" t="str">
        <f t="shared" si="6"/>
        <v/>
      </c>
      <c r="C49" s="496">
        <f>IF(D11="","-",+C48+1)</f>
        <v>2042</v>
      </c>
      <c r="D49" s="509">
        <f>IF(F48+SUM(E$17:E48)=D$10,F48,D$10-SUM(E$17:E48))</f>
        <v>269696.91503102425</v>
      </c>
      <c r="E49" s="510">
        <f>IF(+I14&lt;F48,I14,D49)</f>
        <v>24043.349756097559</v>
      </c>
      <c r="F49" s="511">
        <f t="shared" si="9"/>
        <v>245653.56527492669</v>
      </c>
      <c r="G49" s="512">
        <f t="shared" si="10"/>
        <v>54317.8783472543</v>
      </c>
      <c r="H49" s="478">
        <f t="shared" si="11"/>
        <v>54317.8783472543</v>
      </c>
      <c r="I49" s="501">
        <f t="shared" si="0"/>
        <v>0</v>
      </c>
      <c r="J49" s="501"/>
      <c r="K49" s="513"/>
      <c r="L49" s="505">
        <f t="shared" si="2"/>
        <v>0</v>
      </c>
      <c r="M49" s="513"/>
      <c r="N49" s="505">
        <f t="shared" si="4"/>
        <v>0</v>
      </c>
      <c r="O49" s="505">
        <f t="shared" si="5"/>
        <v>0</v>
      </c>
      <c r="P49" s="279"/>
      <c r="R49" s="244"/>
      <c r="S49" s="244"/>
      <c r="T49" s="244"/>
      <c r="U49" s="244"/>
    </row>
    <row r="50" spans="2:21" ht="12.5">
      <c r="B50" s="145" t="str">
        <f t="shared" si="6"/>
        <v/>
      </c>
      <c r="C50" s="496">
        <f>IF(D11="","-",+C49+1)</f>
        <v>2043</v>
      </c>
      <c r="D50" s="509">
        <f>IF(F49+SUM(E$17:E49)=D$10,F49,D$10-SUM(E$17:E49))</f>
        <v>245653.56527492669</v>
      </c>
      <c r="E50" s="510">
        <f>IF(+I14&lt;F49,I14,D50)</f>
        <v>24043.349756097559</v>
      </c>
      <c r="F50" s="511">
        <f t="shared" ref="F50:F73" si="12">+D50-E50</f>
        <v>221610.21551882912</v>
      </c>
      <c r="G50" s="512">
        <f t="shared" si="10"/>
        <v>51493.000492532898</v>
      </c>
      <c r="H50" s="478">
        <f t="shared" si="11"/>
        <v>51493.000492532898</v>
      </c>
      <c r="I50" s="501">
        <f t="shared" ref="I50:I73" si="13">H50-G50</f>
        <v>0</v>
      </c>
      <c r="J50" s="501"/>
      <c r="K50" s="513"/>
      <c r="L50" s="505">
        <f t="shared" ref="L50:L73" si="14">IF(K50&lt;&gt;0,+G50-K50,0)</f>
        <v>0</v>
      </c>
      <c r="M50" s="513"/>
      <c r="N50" s="505">
        <f t="shared" ref="N50:N73" si="15">IF(M50&lt;&gt;0,+H50-M50,0)</f>
        <v>0</v>
      </c>
      <c r="O50" s="505">
        <f t="shared" ref="O50:O73" si="16">+N50-L50</f>
        <v>0</v>
      </c>
      <c r="P50" s="279"/>
      <c r="R50" s="244"/>
      <c r="S50" s="244"/>
      <c r="T50" s="244"/>
      <c r="U50" s="244"/>
    </row>
    <row r="51" spans="2:21" ht="12.5">
      <c r="B51" s="145" t="str">
        <f t="shared" si="6"/>
        <v/>
      </c>
      <c r="C51" s="496">
        <f>IF(D11="","-",+C50+1)</f>
        <v>2044</v>
      </c>
      <c r="D51" s="509">
        <f>IF(F50+SUM(E$17:E50)=D$10,F50,D$10-SUM(E$17:E50))</f>
        <v>221610.21551882912</v>
      </c>
      <c r="E51" s="510">
        <f>IF(+I14&lt;F50,I14,D51)</f>
        <v>24043.349756097559</v>
      </c>
      <c r="F51" s="511">
        <f t="shared" si="12"/>
        <v>197566.86576273156</v>
      </c>
      <c r="G51" s="512">
        <f t="shared" si="10"/>
        <v>48668.12263781151</v>
      </c>
      <c r="H51" s="478">
        <f t="shared" si="11"/>
        <v>48668.12263781151</v>
      </c>
      <c r="I51" s="501">
        <f t="shared" si="13"/>
        <v>0</v>
      </c>
      <c r="J51" s="501"/>
      <c r="K51" s="513"/>
      <c r="L51" s="505">
        <f t="shared" si="14"/>
        <v>0</v>
      </c>
      <c r="M51" s="513"/>
      <c r="N51" s="505">
        <f t="shared" si="15"/>
        <v>0</v>
      </c>
      <c r="O51" s="505">
        <f t="shared" si="16"/>
        <v>0</v>
      </c>
      <c r="P51" s="279"/>
      <c r="R51" s="244"/>
      <c r="S51" s="244"/>
      <c r="T51" s="244"/>
      <c r="U51" s="244"/>
    </row>
    <row r="52" spans="2:21" ht="12.5">
      <c r="B52" s="145" t="str">
        <f t="shared" si="6"/>
        <v/>
      </c>
      <c r="C52" s="496">
        <f>IF(D11="","-",+C51+1)</f>
        <v>2045</v>
      </c>
      <c r="D52" s="509">
        <f>IF(F51+SUM(E$17:E51)=D$10,F51,D$10-SUM(E$17:E51))</f>
        <v>197566.86576273156</v>
      </c>
      <c r="E52" s="510">
        <f>IF(+I14&lt;F51,I14,D52)</f>
        <v>24043.349756097559</v>
      </c>
      <c r="F52" s="511">
        <f t="shared" si="12"/>
        <v>173523.51600663399</v>
      </c>
      <c r="G52" s="512">
        <f t="shared" si="10"/>
        <v>45843.244783090115</v>
      </c>
      <c r="H52" s="478">
        <f t="shared" si="11"/>
        <v>45843.244783090115</v>
      </c>
      <c r="I52" s="501">
        <f t="shared" si="13"/>
        <v>0</v>
      </c>
      <c r="J52" s="501"/>
      <c r="K52" s="513"/>
      <c r="L52" s="505">
        <f t="shared" si="14"/>
        <v>0</v>
      </c>
      <c r="M52" s="513"/>
      <c r="N52" s="505">
        <f t="shared" si="15"/>
        <v>0</v>
      </c>
      <c r="O52" s="505">
        <f t="shared" si="16"/>
        <v>0</v>
      </c>
      <c r="P52" s="279"/>
      <c r="R52" s="244"/>
      <c r="S52" s="244"/>
      <c r="T52" s="244"/>
      <c r="U52" s="244"/>
    </row>
    <row r="53" spans="2:21" ht="12.5">
      <c r="B53" s="145" t="str">
        <f t="shared" si="6"/>
        <v/>
      </c>
      <c r="C53" s="496">
        <f>IF(D11="","-",+C52+1)</f>
        <v>2046</v>
      </c>
      <c r="D53" s="509">
        <f>IF(F52+SUM(E$17:E52)=D$10,F52,D$10-SUM(E$17:E52))</f>
        <v>173523.51600663399</v>
      </c>
      <c r="E53" s="510">
        <f>IF(+I14&lt;F52,I14,D53)</f>
        <v>24043.349756097559</v>
      </c>
      <c r="F53" s="511">
        <f t="shared" si="12"/>
        <v>149480.16625053642</v>
      </c>
      <c r="G53" s="512">
        <f t="shared" si="10"/>
        <v>43018.366928368727</v>
      </c>
      <c r="H53" s="478">
        <f t="shared" si="11"/>
        <v>43018.366928368727</v>
      </c>
      <c r="I53" s="501">
        <f t="shared" si="13"/>
        <v>0</v>
      </c>
      <c r="J53" s="501"/>
      <c r="K53" s="513"/>
      <c r="L53" s="505">
        <f t="shared" si="14"/>
        <v>0</v>
      </c>
      <c r="M53" s="513"/>
      <c r="N53" s="505">
        <f t="shared" si="15"/>
        <v>0</v>
      </c>
      <c r="O53" s="505">
        <f t="shared" si="16"/>
        <v>0</v>
      </c>
      <c r="P53" s="279"/>
      <c r="R53" s="244"/>
      <c r="S53" s="244"/>
      <c r="T53" s="244"/>
      <c r="U53" s="244"/>
    </row>
    <row r="54" spans="2:21" ht="12.5">
      <c r="B54" s="145" t="str">
        <f t="shared" si="6"/>
        <v/>
      </c>
      <c r="C54" s="496">
        <f>IF(D11="","-",+C53+1)</f>
        <v>2047</v>
      </c>
      <c r="D54" s="509">
        <f>IF(F53+SUM(E$17:E53)=D$10,F53,D$10-SUM(E$17:E53))</f>
        <v>149480.16625053642</v>
      </c>
      <c r="E54" s="510">
        <f>IF(+I14&lt;F53,I14,D54)</f>
        <v>24043.349756097559</v>
      </c>
      <c r="F54" s="511">
        <f t="shared" si="12"/>
        <v>125436.81649443886</v>
      </c>
      <c r="G54" s="512">
        <f t="shared" si="10"/>
        <v>40193.489073647332</v>
      </c>
      <c r="H54" s="478">
        <f t="shared" si="11"/>
        <v>40193.489073647332</v>
      </c>
      <c r="I54" s="501">
        <f t="shared" si="13"/>
        <v>0</v>
      </c>
      <c r="J54" s="501"/>
      <c r="K54" s="513"/>
      <c r="L54" s="505">
        <f t="shared" si="14"/>
        <v>0</v>
      </c>
      <c r="M54" s="513"/>
      <c r="N54" s="505">
        <f t="shared" si="15"/>
        <v>0</v>
      </c>
      <c r="O54" s="505">
        <f t="shared" si="16"/>
        <v>0</v>
      </c>
      <c r="P54" s="279"/>
      <c r="R54" s="244"/>
      <c r="S54" s="244"/>
      <c r="T54" s="244"/>
      <c r="U54" s="244"/>
    </row>
    <row r="55" spans="2:21" ht="12.5">
      <c r="B55" s="145" t="str">
        <f t="shared" si="6"/>
        <v/>
      </c>
      <c r="C55" s="496">
        <f>IF(D11="","-",+C54+1)</f>
        <v>2048</v>
      </c>
      <c r="D55" s="509">
        <f>IF(F54+SUM(E$17:E54)=D$10,F54,D$10-SUM(E$17:E54))</f>
        <v>125436.81649443886</v>
      </c>
      <c r="E55" s="510">
        <f>IF(+I14&lt;F54,I14,D55)</f>
        <v>24043.349756097559</v>
      </c>
      <c r="F55" s="511">
        <f t="shared" si="12"/>
        <v>101393.46673834129</v>
      </c>
      <c r="G55" s="512">
        <f t="shared" si="10"/>
        <v>37368.611218925937</v>
      </c>
      <c r="H55" s="478">
        <f t="shared" si="11"/>
        <v>37368.611218925937</v>
      </c>
      <c r="I55" s="501">
        <f t="shared" si="13"/>
        <v>0</v>
      </c>
      <c r="J55" s="501"/>
      <c r="K55" s="513"/>
      <c r="L55" s="505">
        <f t="shared" si="14"/>
        <v>0</v>
      </c>
      <c r="M55" s="513"/>
      <c r="N55" s="505">
        <f t="shared" si="15"/>
        <v>0</v>
      </c>
      <c r="O55" s="505">
        <f t="shared" si="16"/>
        <v>0</v>
      </c>
      <c r="P55" s="279"/>
      <c r="R55" s="244"/>
      <c r="S55" s="244"/>
      <c r="T55" s="244"/>
      <c r="U55" s="244"/>
    </row>
    <row r="56" spans="2:21" ht="12.5">
      <c r="B56" s="145" t="str">
        <f t="shared" si="6"/>
        <v/>
      </c>
      <c r="C56" s="496">
        <f>IF(D11="","-",+C55+1)</f>
        <v>2049</v>
      </c>
      <c r="D56" s="509">
        <f>IF(F55+SUM(E$17:E55)=D$10,F55,D$10-SUM(E$17:E55))</f>
        <v>101393.46673834129</v>
      </c>
      <c r="E56" s="510">
        <f>IF(+I14&lt;F55,I14,D56)</f>
        <v>24043.349756097559</v>
      </c>
      <c r="F56" s="511">
        <f t="shared" si="12"/>
        <v>77350.116982243722</v>
      </c>
      <c r="G56" s="512">
        <f t="shared" si="10"/>
        <v>34543.733364204541</v>
      </c>
      <c r="H56" s="478">
        <f t="shared" si="11"/>
        <v>34543.733364204541</v>
      </c>
      <c r="I56" s="501">
        <f t="shared" si="13"/>
        <v>0</v>
      </c>
      <c r="J56" s="501"/>
      <c r="K56" s="513"/>
      <c r="L56" s="505">
        <f t="shared" si="14"/>
        <v>0</v>
      </c>
      <c r="M56" s="513"/>
      <c r="N56" s="505">
        <f t="shared" si="15"/>
        <v>0</v>
      </c>
      <c r="O56" s="505">
        <f t="shared" si="16"/>
        <v>0</v>
      </c>
      <c r="P56" s="279"/>
      <c r="R56" s="244"/>
      <c r="S56" s="244"/>
      <c r="T56" s="244"/>
      <c r="U56" s="244"/>
    </row>
    <row r="57" spans="2:21" ht="12.5">
      <c r="B57" s="145" t="str">
        <f t="shared" si="6"/>
        <v/>
      </c>
      <c r="C57" s="496">
        <f>IF(D11="","-",+C56+1)</f>
        <v>2050</v>
      </c>
      <c r="D57" s="509">
        <f>IF(F56+SUM(E$17:E56)=D$10,F56,D$10-SUM(E$17:E56))</f>
        <v>77350.116982243722</v>
      </c>
      <c r="E57" s="510">
        <f>IF(+I14&lt;F56,I14,D57)</f>
        <v>24043.349756097559</v>
      </c>
      <c r="F57" s="511">
        <f t="shared" si="12"/>
        <v>53306.767226146163</v>
      </c>
      <c r="G57" s="512">
        <f t="shared" si="10"/>
        <v>31718.855509483154</v>
      </c>
      <c r="H57" s="478">
        <f t="shared" si="11"/>
        <v>31718.855509483154</v>
      </c>
      <c r="I57" s="501">
        <f t="shared" si="13"/>
        <v>0</v>
      </c>
      <c r="J57" s="501"/>
      <c r="K57" s="513"/>
      <c r="L57" s="505">
        <f t="shared" si="14"/>
        <v>0</v>
      </c>
      <c r="M57" s="513"/>
      <c r="N57" s="505">
        <f t="shared" si="15"/>
        <v>0</v>
      </c>
      <c r="O57" s="505">
        <f t="shared" si="16"/>
        <v>0</v>
      </c>
      <c r="P57" s="279"/>
      <c r="R57" s="244"/>
      <c r="S57" s="244"/>
      <c r="T57" s="244"/>
      <c r="U57" s="244"/>
    </row>
    <row r="58" spans="2:21" ht="12.5">
      <c r="B58" s="145" t="str">
        <f t="shared" si="6"/>
        <v/>
      </c>
      <c r="C58" s="496">
        <f>IF(D11="","-",+C57+1)</f>
        <v>2051</v>
      </c>
      <c r="D58" s="509">
        <f>IF(F57+SUM(E$17:E57)=D$10,F57,D$10-SUM(E$17:E57))</f>
        <v>53306.767226146163</v>
      </c>
      <c r="E58" s="510">
        <f>IF(+I14&lt;F57,I14,D58)</f>
        <v>24043.349756097559</v>
      </c>
      <c r="F58" s="511">
        <f t="shared" si="12"/>
        <v>29263.417470048604</v>
      </c>
      <c r="G58" s="512">
        <f t="shared" si="10"/>
        <v>28893.977654761758</v>
      </c>
      <c r="H58" s="478">
        <f t="shared" si="11"/>
        <v>28893.977654761758</v>
      </c>
      <c r="I58" s="501">
        <f t="shared" si="13"/>
        <v>0</v>
      </c>
      <c r="J58" s="501"/>
      <c r="K58" s="513"/>
      <c r="L58" s="505">
        <f t="shared" si="14"/>
        <v>0</v>
      </c>
      <c r="M58" s="513"/>
      <c r="N58" s="505">
        <f t="shared" si="15"/>
        <v>0</v>
      </c>
      <c r="O58" s="505">
        <f t="shared" si="16"/>
        <v>0</v>
      </c>
      <c r="P58" s="279"/>
      <c r="R58" s="244"/>
      <c r="S58" s="244"/>
      <c r="T58" s="244"/>
      <c r="U58" s="244"/>
    </row>
    <row r="59" spans="2:21" ht="12.5">
      <c r="B59" s="145" t="str">
        <f t="shared" si="6"/>
        <v/>
      </c>
      <c r="C59" s="496">
        <f>IF(D11="","-",+C58+1)</f>
        <v>2052</v>
      </c>
      <c r="D59" s="509">
        <f>IF(F58+SUM(E$17:E58)=D$10,F58,D$10-SUM(E$17:E58))</f>
        <v>29263.417470048604</v>
      </c>
      <c r="E59" s="510">
        <f>IF(+I14&lt;F58,I14,D59)</f>
        <v>24043.349756097559</v>
      </c>
      <c r="F59" s="511">
        <f t="shared" si="12"/>
        <v>5220.0677139510444</v>
      </c>
      <c r="G59" s="512">
        <f t="shared" si="10"/>
        <v>26069.099800040367</v>
      </c>
      <c r="H59" s="478">
        <f t="shared" si="11"/>
        <v>26069.099800040367</v>
      </c>
      <c r="I59" s="501">
        <f t="shared" si="13"/>
        <v>0</v>
      </c>
      <c r="J59" s="501"/>
      <c r="K59" s="513"/>
      <c r="L59" s="505">
        <f t="shared" si="14"/>
        <v>0</v>
      </c>
      <c r="M59" s="513"/>
      <c r="N59" s="505">
        <f t="shared" si="15"/>
        <v>0</v>
      </c>
      <c r="O59" s="505">
        <f t="shared" si="16"/>
        <v>0</v>
      </c>
      <c r="P59" s="279"/>
      <c r="R59" s="244"/>
      <c r="S59" s="244"/>
      <c r="T59" s="244"/>
      <c r="U59" s="244"/>
    </row>
    <row r="60" spans="2:21" ht="12.5">
      <c r="B60" s="145" t="str">
        <f t="shared" si="6"/>
        <v/>
      </c>
      <c r="C60" s="496">
        <f>IF(D11="","-",+C59+1)</f>
        <v>2053</v>
      </c>
      <c r="D60" s="509">
        <f>IF(F59+SUM(E$17:E59)=D$10,F59,D$10-SUM(E$17:E59))</f>
        <v>5220.0677139510444</v>
      </c>
      <c r="E60" s="510">
        <f>IF(+I14&lt;F59,I14,D60)</f>
        <v>5220.0677139510444</v>
      </c>
      <c r="F60" s="511">
        <f t="shared" si="12"/>
        <v>0</v>
      </c>
      <c r="G60" s="512">
        <f t="shared" si="10"/>
        <v>5526.7232722421004</v>
      </c>
      <c r="H60" s="478">
        <f t="shared" si="11"/>
        <v>5526.7232722421004</v>
      </c>
      <c r="I60" s="501">
        <f t="shared" si="13"/>
        <v>0</v>
      </c>
      <c r="J60" s="501"/>
      <c r="K60" s="513"/>
      <c r="L60" s="505">
        <f t="shared" si="14"/>
        <v>0</v>
      </c>
      <c r="M60" s="513"/>
      <c r="N60" s="505">
        <f t="shared" si="15"/>
        <v>0</v>
      </c>
      <c r="O60" s="505">
        <f t="shared" si="16"/>
        <v>0</v>
      </c>
      <c r="P60" s="279"/>
      <c r="R60" s="244"/>
      <c r="S60" s="244"/>
      <c r="T60" s="244"/>
      <c r="U60" s="244"/>
    </row>
    <row r="61" spans="2:21" ht="12.5">
      <c r="B61" s="145" t="str">
        <f t="shared" si="6"/>
        <v/>
      </c>
      <c r="C61" s="496">
        <f>IF(D11="","-",+C60+1)</f>
        <v>2054</v>
      </c>
      <c r="D61" s="509">
        <f>IF(F60+SUM(E$17:E60)=D$10,F60,D$10-SUM(E$17:E60))</f>
        <v>0</v>
      </c>
      <c r="E61" s="510">
        <f>IF(+I14&lt;F60,I14,D61)</f>
        <v>0</v>
      </c>
      <c r="F61" s="511">
        <f t="shared" si="12"/>
        <v>0</v>
      </c>
      <c r="G61" s="512">
        <f t="shared" si="10"/>
        <v>0</v>
      </c>
      <c r="H61" s="478">
        <f t="shared" si="11"/>
        <v>0</v>
      </c>
      <c r="I61" s="501">
        <f t="shared" si="13"/>
        <v>0</v>
      </c>
      <c r="J61" s="501"/>
      <c r="K61" s="513"/>
      <c r="L61" s="505">
        <f t="shared" si="14"/>
        <v>0</v>
      </c>
      <c r="M61" s="513"/>
      <c r="N61" s="505">
        <f t="shared" si="15"/>
        <v>0</v>
      </c>
      <c r="O61" s="505">
        <f t="shared" si="16"/>
        <v>0</v>
      </c>
      <c r="P61" s="279"/>
      <c r="R61" s="244"/>
      <c r="S61" s="244"/>
      <c r="T61" s="244"/>
      <c r="U61" s="244"/>
    </row>
    <row r="62" spans="2:21" ht="12.5">
      <c r="B62" s="145" t="str">
        <f t="shared" si="6"/>
        <v/>
      </c>
      <c r="C62" s="496">
        <f>IF(D11="","-",+C61+1)</f>
        <v>2055</v>
      </c>
      <c r="D62" s="509">
        <f>IF(F61+SUM(E$17:E61)=D$10,F61,D$10-SUM(E$17:E61))</f>
        <v>0</v>
      </c>
      <c r="E62" s="510">
        <f>IF(+I14&lt;F61,I14,D62)</f>
        <v>0</v>
      </c>
      <c r="F62" s="511">
        <f t="shared" si="12"/>
        <v>0</v>
      </c>
      <c r="G62" s="524">
        <f t="shared" si="10"/>
        <v>0</v>
      </c>
      <c r="H62" s="478">
        <f t="shared" si="11"/>
        <v>0</v>
      </c>
      <c r="I62" s="501">
        <f t="shared" si="13"/>
        <v>0</v>
      </c>
      <c r="J62" s="501"/>
      <c r="K62" s="513"/>
      <c r="L62" s="505">
        <f t="shared" si="14"/>
        <v>0</v>
      </c>
      <c r="M62" s="513"/>
      <c r="N62" s="505">
        <f t="shared" si="15"/>
        <v>0</v>
      </c>
      <c r="O62" s="505">
        <f t="shared" si="16"/>
        <v>0</v>
      </c>
      <c r="P62" s="279"/>
      <c r="R62" s="244"/>
      <c r="S62" s="244"/>
      <c r="T62" s="244"/>
      <c r="U62" s="244"/>
    </row>
    <row r="63" spans="2:21" ht="12.5">
      <c r="B63" s="145" t="str">
        <f t="shared" si="6"/>
        <v/>
      </c>
      <c r="C63" s="496">
        <f>IF(D11="","-",+C62+1)</f>
        <v>2056</v>
      </c>
      <c r="D63" s="509">
        <f>IF(F62+SUM(E$17:E62)=D$10,F62,D$10-SUM(E$17:E62))</f>
        <v>0</v>
      </c>
      <c r="E63" s="510">
        <f>IF(+I14&lt;F62,I14,D63)</f>
        <v>0</v>
      </c>
      <c r="F63" s="511">
        <f t="shared" si="12"/>
        <v>0</v>
      </c>
      <c r="G63" s="524">
        <f t="shared" si="10"/>
        <v>0</v>
      </c>
      <c r="H63" s="478">
        <f t="shared" si="11"/>
        <v>0</v>
      </c>
      <c r="I63" s="501">
        <f t="shared" si="13"/>
        <v>0</v>
      </c>
      <c r="J63" s="501"/>
      <c r="K63" s="513"/>
      <c r="L63" s="505">
        <f t="shared" si="14"/>
        <v>0</v>
      </c>
      <c r="M63" s="513"/>
      <c r="N63" s="505">
        <f t="shared" si="15"/>
        <v>0</v>
      </c>
      <c r="O63" s="505">
        <f t="shared" si="16"/>
        <v>0</v>
      </c>
      <c r="P63" s="279"/>
      <c r="R63" s="244"/>
      <c r="S63" s="244"/>
      <c r="T63" s="244"/>
      <c r="U63" s="244"/>
    </row>
    <row r="64" spans="2:21" ht="12.5">
      <c r="B64" s="145" t="str">
        <f t="shared" si="6"/>
        <v/>
      </c>
      <c r="C64" s="496">
        <f>IF(D11="","-",+C63+1)</f>
        <v>2057</v>
      </c>
      <c r="D64" s="509">
        <f>IF(F63+SUM(E$17:E63)=D$10,F63,D$10-SUM(E$17:E63))</f>
        <v>0</v>
      </c>
      <c r="E64" s="510">
        <f>IF(+I14&lt;F63,I14,D64)</f>
        <v>0</v>
      </c>
      <c r="F64" s="511">
        <f t="shared" si="12"/>
        <v>0</v>
      </c>
      <c r="G64" s="524">
        <f t="shared" si="10"/>
        <v>0</v>
      </c>
      <c r="H64" s="478">
        <f t="shared" si="11"/>
        <v>0</v>
      </c>
      <c r="I64" s="501">
        <f t="shared" si="13"/>
        <v>0</v>
      </c>
      <c r="J64" s="501"/>
      <c r="K64" s="513"/>
      <c r="L64" s="505">
        <f t="shared" si="14"/>
        <v>0</v>
      </c>
      <c r="M64" s="513"/>
      <c r="N64" s="505">
        <f t="shared" si="15"/>
        <v>0</v>
      </c>
      <c r="O64" s="505">
        <f t="shared" si="16"/>
        <v>0</v>
      </c>
      <c r="P64" s="279"/>
      <c r="R64" s="244"/>
      <c r="S64" s="244"/>
      <c r="T64" s="244"/>
      <c r="U64" s="244"/>
    </row>
    <row r="65" spans="2:21" ht="12.5">
      <c r="B65" s="145" t="str">
        <f t="shared" si="6"/>
        <v/>
      </c>
      <c r="C65" s="496">
        <f>IF(D11="","-",+C64+1)</f>
        <v>2058</v>
      </c>
      <c r="D65" s="509">
        <f>IF(F64+SUM(E$17:E64)=D$10,F64,D$10-SUM(E$17:E64))</f>
        <v>0</v>
      </c>
      <c r="E65" s="510">
        <f>IF(+I14&lt;F64,I14,D65)</f>
        <v>0</v>
      </c>
      <c r="F65" s="511">
        <f t="shared" si="12"/>
        <v>0</v>
      </c>
      <c r="G65" s="524">
        <f t="shared" si="10"/>
        <v>0</v>
      </c>
      <c r="H65" s="478">
        <f t="shared" si="11"/>
        <v>0</v>
      </c>
      <c r="I65" s="501">
        <f t="shared" si="13"/>
        <v>0</v>
      </c>
      <c r="J65" s="501"/>
      <c r="K65" s="513"/>
      <c r="L65" s="505">
        <f t="shared" si="14"/>
        <v>0</v>
      </c>
      <c r="M65" s="513"/>
      <c r="N65" s="505">
        <f t="shared" si="15"/>
        <v>0</v>
      </c>
      <c r="O65" s="505">
        <f t="shared" si="16"/>
        <v>0</v>
      </c>
      <c r="P65" s="279"/>
      <c r="R65" s="244"/>
      <c r="S65" s="244"/>
      <c r="T65" s="244"/>
      <c r="U65" s="244"/>
    </row>
    <row r="66" spans="2:21" ht="12.5">
      <c r="B66" s="145" t="str">
        <f t="shared" si="6"/>
        <v/>
      </c>
      <c r="C66" s="496">
        <f>IF(D11="","-",+C65+1)</f>
        <v>2059</v>
      </c>
      <c r="D66" s="509">
        <f>IF(F65+SUM(E$17:E65)=D$10,F65,D$10-SUM(E$17:E65))</f>
        <v>0</v>
      </c>
      <c r="E66" s="510">
        <f>IF(+I14&lt;F65,I14,D66)</f>
        <v>0</v>
      </c>
      <c r="F66" s="511">
        <f t="shared" si="12"/>
        <v>0</v>
      </c>
      <c r="G66" s="524">
        <f t="shared" si="10"/>
        <v>0</v>
      </c>
      <c r="H66" s="478">
        <f t="shared" si="11"/>
        <v>0</v>
      </c>
      <c r="I66" s="501">
        <f t="shared" si="13"/>
        <v>0</v>
      </c>
      <c r="J66" s="501"/>
      <c r="K66" s="513"/>
      <c r="L66" s="505">
        <f t="shared" si="14"/>
        <v>0</v>
      </c>
      <c r="M66" s="513"/>
      <c r="N66" s="505">
        <f t="shared" si="15"/>
        <v>0</v>
      </c>
      <c r="O66" s="505">
        <f t="shared" si="16"/>
        <v>0</v>
      </c>
      <c r="P66" s="279"/>
      <c r="R66" s="244"/>
      <c r="S66" s="244"/>
      <c r="T66" s="244"/>
      <c r="U66" s="244"/>
    </row>
    <row r="67" spans="2:21" ht="12.5">
      <c r="B67" s="145" t="str">
        <f t="shared" si="6"/>
        <v/>
      </c>
      <c r="C67" s="496">
        <f>IF(D11="","-",+C66+1)</f>
        <v>2060</v>
      </c>
      <c r="D67" s="509">
        <f>IF(F66+SUM(E$17:E66)=D$10,F66,D$10-SUM(E$17:E66))</f>
        <v>0</v>
      </c>
      <c r="E67" s="510">
        <f>IF(+I14&lt;F66,I14,D67)</f>
        <v>0</v>
      </c>
      <c r="F67" s="511">
        <f t="shared" si="12"/>
        <v>0</v>
      </c>
      <c r="G67" s="524">
        <f t="shared" si="10"/>
        <v>0</v>
      </c>
      <c r="H67" s="478">
        <f t="shared" si="11"/>
        <v>0</v>
      </c>
      <c r="I67" s="501">
        <f t="shared" si="13"/>
        <v>0</v>
      </c>
      <c r="J67" s="501"/>
      <c r="K67" s="513"/>
      <c r="L67" s="505">
        <f t="shared" si="14"/>
        <v>0</v>
      </c>
      <c r="M67" s="513"/>
      <c r="N67" s="505">
        <f t="shared" si="15"/>
        <v>0</v>
      </c>
      <c r="O67" s="505">
        <f t="shared" si="16"/>
        <v>0</v>
      </c>
      <c r="P67" s="279"/>
      <c r="R67" s="244"/>
      <c r="S67" s="244"/>
      <c r="T67" s="244"/>
      <c r="U67" s="244"/>
    </row>
    <row r="68" spans="2:21" ht="12.5">
      <c r="B68" s="145" t="str">
        <f t="shared" si="6"/>
        <v/>
      </c>
      <c r="C68" s="496">
        <f>IF(D11="","-",+C67+1)</f>
        <v>2061</v>
      </c>
      <c r="D68" s="509">
        <f>IF(F67+SUM(E$17:E67)=D$10,F67,D$10-SUM(E$17:E67))</f>
        <v>0</v>
      </c>
      <c r="E68" s="510">
        <f>IF(+I14&lt;F67,I14,D68)</f>
        <v>0</v>
      </c>
      <c r="F68" s="511">
        <f t="shared" si="12"/>
        <v>0</v>
      </c>
      <c r="G68" s="524">
        <f t="shared" si="10"/>
        <v>0</v>
      </c>
      <c r="H68" s="478">
        <f t="shared" si="11"/>
        <v>0</v>
      </c>
      <c r="I68" s="501">
        <f t="shared" si="13"/>
        <v>0</v>
      </c>
      <c r="J68" s="501"/>
      <c r="K68" s="513"/>
      <c r="L68" s="505">
        <f t="shared" si="14"/>
        <v>0</v>
      </c>
      <c r="M68" s="513"/>
      <c r="N68" s="505">
        <f t="shared" si="15"/>
        <v>0</v>
      </c>
      <c r="O68" s="505">
        <f t="shared" si="16"/>
        <v>0</v>
      </c>
      <c r="P68" s="279"/>
      <c r="R68" s="244"/>
      <c r="S68" s="244"/>
      <c r="T68" s="244"/>
      <c r="U68" s="244"/>
    </row>
    <row r="69" spans="2:21" ht="12.5">
      <c r="B69" s="145" t="str">
        <f t="shared" si="6"/>
        <v/>
      </c>
      <c r="C69" s="496">
        <f>IF(D11="","-",+C68+1)</f>
        <v>2062</v>
      </c>
      <c r="D69" s="509">
        <f>IF(F68+SUM(E$17:E68)=D$10,F68,D$10-SUM(E$17:E68))</f>
        <v>0</v>
      </c>
      <c r="E69" s="510">
        <f>IF(+I14&lt;F68,I14,D69)</f>
        <v>0</v>
      </c>
      <c r="F69" s="511">
        <f t="shared" si="12"/>
        <v>0</v>
      </c>
      <c r="G69" s="524">
        <f t="shared" si="10"/>
        <v>0</v>
      </c>
      <c r="H69" s="478">
        <f t="shared" si="11"/>
        <v>0</v>
      </c>
      <c r="I69" s="501">
        <f t="shared" si="13"/>
        <v>0</v>
      </c>
      <c r="J69" s="501"/>
      <c r="K69" s="513"/>
      <c r="L69" s="505">
        <f t="shared" si="14"/>
        <v>0</v>
      </c>
      <c r="M69" s="513"/>
      <c r="N69" s="505">
        <f t="shared" si="15"/>
        <v>0</v>
      </c>
      <c r="O69" s="505">
        <f t="shared" si="16"/>
        <v>0</v>
      </c>
      <c r="P69" s="279"/>
      <c r="R69" s="244"/>
      <c r="S69" s="244"/>
      <c r="T69" s="244"/>
      <c r="U69" s="244"/>
    </row>
    <row r="70" spans="2:21" ht="12.5">
      <c r="B70" s="145" t="str">
        <f t="shared" si="6"/>
        <v/>
      </c>
      <c r="C70" s="496">
        <f>IF(D11="","-",+C69+1)</f>
        <v>2063</v>
      </c>
      <c r="D70" s="509">
        <f>IF(F69+SUM(E$17:E69)=D$10,F69,D$10-SUM(E$17:E69))</f>
        <v>0</v>
      </c>
      <c r="E70" s="510">
        <f>IF(+I14&lt;F69,I14,D70)</f>
        <v>0</v>
      </c>
      <c r="F70" s="511">
        <f t="shared" si="12"/>
        <v>0</v>
      </c>
      <c r="G70" s="524">
        <f t="shared" si="10"/>
        <v>0</v>
      </c>
      <c r="H70" s="478">
        <f t="shared" si="11"/>
        <v>0</v>
      </c>
      <c r="I70" s="501">
        <f t="shared" si="13"/>
        <v>0</v>
      </c>
      <c r="J70" s="501"/>
      <c r="K70" s="513"/>
      <c r="L70" s="505">
        <f t="shared" si="14"/>
        <v>0</v>
      </c>
      <c r="M70" s="513"/>
      <c r="N70" s="505">
        <f t="shared" si="15"/>
        <v>0</v>
      </c>
      <c r="O70" s="505">
        <f t="shared" si="16"/>
        <v>0</v>
      </c>
      <c r="P70" s="279"/>
      <c r="R70" s="244"/>
      <c r="S70" s="244"/>
      <c r="T70" s="244"/>
      <c r="U70" s="244"/>
    </row>
    <row r="71" spans="2:21" ht="12.5">
      <c r="B71" s="145" t="str">
        <f t="shared" si="6"/>
        <v/>
      </c>
      <c r="C71" s="496">
        <f>IF(D11="","-",+C70+1)</f>
        <v>2064</v>
      </c>
      <c r="D71" s="509">
        <f>IF(F70+SUM(E$17:E70)=D$10,F70,D$10-SUM(E$17:E70))</f>
        <v>0</v>
      </c>
      <c r="E71" s="510">
        <f>IF(+I14&lt;F70,I14,D71)</f>
        <v>0</v>
      </c>
      <c r="F71" s="511">
        <f t="shared" si="12"/>
        <v>0</v>
      </c>
      <c r="G71" s="524">
        <f t="shared" si="10"/>
        <v>0</v>
      </c>
      <c r="H71" s="478">
        <f t="shared" si="11"/>
        <v>0</v>
      </c>
      <c r="I71" s="501">
        <f t="shared" si="13"/>
        <v>0</v>
      </c>
      <c r="J71" s="501"/>
      <c r="K71" s="513"/>
      <c r="L71" s="505">
        <f t="shared" si="14"/>
        <v>0</v>
      </c>
      <c r="M71" s="513"/>
      <c r="N71" s="505">
        <f t="shared" si="15"/>
        <v>0</v>
      </c>
      <c r="O71" s="505">
        <f t="shared" si="16"/>
        <v>0</v>
      </c>
      <c r="P71" s="279"/>
      <c r="R71" s="244"/>
      <c r="S71" s="244"/>
      <c r="T71" s="244"/>
      <c r="U71" s="244"/>
    </row>
    <row r="72" spans="2:21" ht="12.5">
      <c r="B72" s="145" t="str">
        <f t="shared" si="6"/>
        <v/>
      </c>
      <c r="C72" s="496">
        <f>IF(D11="","-",+C71+1)</f>
        <v>2065</v>
      </c>
      <c r="D72" s="509">
        <f>IF(F71+SUM(E$17:E71)=D$10,F71,D$10-SUM(E$17:E71))</f>
        <v>0</v>
      </c>
      <c r="E72" s="510">
        <f>IF(+I14&lt;F71,I14,D72)</f>
        <v>0</v>
      </c>
      <c r="F72" s="511">
        <f t="shared" si="12"/>
        <v>0</v>
      </c>
      <c r="G72" s="524">
        <f t="shared" si="10"/>
        <v>0</v>
      </c>
      <c r="H72" s="478">
        <f t="shared" si="11"/>
        <v>0</v>
      </c>
      <c r="I72" s="501">
        <f t="shared" si="13"/>
        <v>0</v>
      </c>
      <c r="J72" s="501"/>
      <c r="K72" s="513"/>
      <c r="L72" s="505">
        <f t="shared" si="14"/>
        <v>0</v>
      </c>
      <c r="M72" s="513"/>
      <c r="N72" s="505">
        <f t="shared" si="15"/>
        <v>0</v>
      </c>
      <c r="O72" s="505">
        <f t="shared" si="16"/>
        <v>0</v>
      </c>
      <c r="P72" s="279"/>
      <c r="R72" s="244"/>
      <c r="S72" s="244"/>
      <c r="T72" s="244"/>
      <c r="U72" s="244"/>
    </row>
    <row r="73" spans="2:21" ht="13" thickBot="1">
      <c r="B73" s="145" t="str">
        <f t="shared" si="6"/>
        <v/>
      </c>
      <c r="C73" s="525">
        <f>IF(D11="","-",+C72+1)</f>
        <v>2066</v>
      </c>
      <c r="D73" s="526">
        <f>IF(F72+SUM(E$17:E72)=D$10,F72,D$10-SUM(E$17:E72))</f>
        <v>0</v>
      </c>
      <c r="E73" s="527">
        <f>IF(+I14&lt;F72,I14,D73)</f>
        <v>0</v>
      </c>
      <c r="F73" s="528">
        <f t="shared" si="12"/>
        <v>0</v>
      </c>
      <c r="G73" s="529">
        <f t="shared" si="10"/>
        <v>0</v>
      </c>
      <c r="H73" s="459">
        <f t="shared" si="11"/>
        <v>0</v>
      </c>
      <c r="I73" s="530">
        <f t="shared" si="13"/>
        <v>0</v>
      </c>
      <c r="J73" s="501"/>
      <c r="K73" s="531"/>
      <c r="L73" s="532">
        <f t="shared" si="14"/>
        <v>0</v>
      </c>
      <c r="M73" s="531"/>
      <c r="N73" s="532">
        <f t="shared" si="15"/>
        <v>0</v>
      </c>
      <c r="O73" s="532">
        <f t="shared" si="16"/>
        <v>0</v>
      </c>
      <c r="P73" s="279"/>
      <c r="R73" s="244"/>
      <c r="S73" s="244"/>
      <c r="T73" s="244"/>
      <c r="U73" s="244"/>
    </row>
    <row r="74" spans="2:21" ht="12.5">
      <c r="C74" s="350" t="s">
        <v>75</v>
      </c>
      <c r="D74" s="295"/>
      <c r="E74" s="295">
        <f>SUM(E17:E73)</f>
        <v>985777.33999999973</v>
      </c>
      <c r="F74" s="295"/>
      <c r="G74" s="295">
        <f>SUM(G17:G73)</f>
        <v>3535174.5905549405</v>
      </c>
      <c r="H74" s="295">
        <f>SUM(H17:H73)</f>
        <v>3535174.5905549405</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534" t="str">
        <f ca="1">P1</f>
        <v>OKT Project 2 of 19</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2019</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113764.92954880837</v>
      </c>
      <c r="N88" s="545">
        <f>IF(J93&lt;D11,0,VLOOKUP(J93,C17:O73,11))</f>
        <v>113764.92954880837</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116549.36150985645</v>
      </c>
      <c r="N89" s="549">
        <f>IF(J93&lt;D11,0,VLOOKUP(J93,C100:P155,7))</f>
        <v>116549.36150985645</v>
      </c>
      <c r="O89" s="550">
        <f>+N89-M89</f>
        <v>0</v>
      </c>
      <c r="P89" s="244"/>
      <c r="Q89" s="244"/>
      <c r="R89" s="244"/>
      <c r="S89" s="244"/>
      <c r="T89" s="244"/>
      <c r="U89" s="244"/>
    </row>
    <row r="90" spans="1:21" ht="13.5" thickBot="1">
      <c r="C90" s="455" t="s">
        <v>82</v>
      </c>
      <c r="D90" s="551" t="str">
        <f>+D7</f>
        <v>Coffeyville T to Dearing 138 kV Rebuild - 1.1 miles</v>
      </c>
      <c r="E90" s="244"/>
      <c r="F90" s="244"/>
      <c r="G90" s="244"/>
      <c r="H90" s="244"/>
      <c r="I90" s="326"/>
      <c r="J90" s="326"/>
      <c r="K90" s="552"/>
      <c r="L90" s="553" t="s">
        <v>135</v>
      </c>
      <c r="M90" s="554">
        <f>+M89-M88</f>
        <v>2784.4319610480743</v>
      </c>
      <c r="N90" s="554">
        <f>+N89-N88</f>
        <v>2784.4319610480743</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TP2008013</v>
      </c>
      <c r="E92" s="559"/>
      <c r="F92" s="559"/>
      <c r="G92" s="559"/>
      <c r="H92" s="559"/>
      <c r="I92" s="559"/>
      <c r="J92" s="559"/>
      <c r="K92" s="561"/>
      <c r="P92" s="469"/>
      <c r="Q92" s="244"/>
      <c r="R92" s="244"/>
      <c r="S92" s="244"/>
      <c r="T92" s="244"/>
      <c r="U92" s="244"/>
    </row>
    <row r="93" spans="1:21" ht="13">
      <c r="C93" s="473" t="s">
        <v>49</v>
      </c>
      <c r="D93" s="471">
        <f>IF(D11=I10,0,D10)</f>
        <v>985777.34</v>
      </c>
      <c r="E93" s="249" t="s">
        <v>84</v>
      </c>
      <c r="H93" s="409"/>
      <c r="I93" s="409"/>
      <c r="J93" s="472">
        <f>+'OKT.WS.G.BPU.ATRR.True-up'!M16</f>
        <v>2019</v>
      </c>
      <c r="K93" s="468"/>
      <c r="L93" s="295" t="s">
        <v>85</v>
      </c>
      <c r="P93" s="279"/>
      <c r="Q93" s="244"/>
      <c r="R93" s="244"/>
      <c r="S93" s="244"/>
      <c r="T93" s="244"/>
      <c r="U93" s="244"/>
    </row>
    <row r="94" spans="1:21" ht="12.5">
      <c r="C94" s="473" t="s">
        <v>52</v>
      </c>
      <c r="D94" s="562">
        <f>IF(D11=I10,"",D11)</f>
        <v>2010</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83">
        <f>IF(D11=I10,"",D12)</f>
        <v>6</v>
      </c>
      <c r="E95" s="473" t="s">
        <v>55</v>
      </c>
      <c r="F95" s="409"/>
      <c r="G95" s="409"/>
      <c r="J95" s="477">
        <f>'OKT.WS.G.BPU.ATRR.True-up'!$F$81</f>
        <v>0.10800922592579221</v>
      </c>
      <c r="K95" s="414"/>
      <c r="L95" s="145" t="s">
        <v>86</v>
      </c>
      <c r="P95" s="279"/>
      <c r="Q95" s="244"/>
      <c r="R95" s="244"/>
      <c r="S95" s="244"/>
      <c r="T95" s="244"/>
      <c r="U95" s="244"/>
    </row>
    <row r="96" spans="1:21" ht="12.5">
      <c r="C96" s="473" t="s">
        <v>57</v>
      </c>
      <c r="D96" s="475">
        <f>'OKT.WS.G.BPU.ATRR.True-up'!F$93</f>
        <v>33</v>
      </c>
      <c r="E96" s="473" t="s">
        <v>58</v>
      </c>
      <c r="F96" s="409"/>
      <c r="G96" s="409"/>
      <c r="J96" s="477">
        <f>IF(H88="",J95,'OKT.WS.G.BPU.ATRR.True-up'!$F$80)</f>
        <v>0.10800922592579221</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29872.040606060604</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B100" s="145" t="str">
        <f t="shared" ref="B100:B155" si="17">IF(D100=F99,"","IU")</f>
        <v>IU</v>
      </c>
      <c r="C100" s="496">
        <f>IF(D94= "","-",D94)</f>
        <v>2010</v>
      </c>
      <c r="D100" s="497">
        <v>0</v>
      </c>
      <c r="E100" s="499">
        <v>8464.310344827587</v>
      </c>
      <c r="F100" s="506">
        <v>973395.68965517241</v>
      </c>
      <c r="G100" s="572">
        <v>486697.8448275862</v>
      </c>
      <c r="H100" s="572">
        <v>173914.12278230567</v>
      </c>
      <c r="I100" s="572">
        <v>173914.12278230567</v>
      </c>
      <c r="J100" s="505">
        <f t="shared" ref="J100:J131" si="18">+I100-H100</f>
        <v>0</v>
      </c>
      <c r="K100" s="505"/>
      <c r="L100" s="507">
        <f t="shared" ref="L100:L105" si="19">H100</f>
        <v>173914.12278230567</v>
      </c>
      <c r="M100" s="508">
        <f>IF(L100&lt;&gt;0,+H100-L100,0)</f>
        <v>0</v>
      </c>
      <c r="N100" s="507">
        <f t="shared" ref="N100:N105" si="20">I100</f>
        <v>173914.12278230567</v>
      </c>
      <c r="O100" s="504">
        <f t="shared" ref="O100:O131" si="21">IF(N100&lt;&gt;0,+I100-N100,0)</f>
        <v>0</v>
      </c>
      <c r="P100" s="504">
        <f t="shared" ref="P100:P131" si="22">+O100-M100</f>
        <v>0</v>
      </c>
      <c r="Q100" s="244"/>
      <c r="R100" s="244"/>
      <c r="S100" s="244"/>
      <c r="T100" s="244"/>
      <c r="U100" s="244"/>
    </row>
    <row r="101" spans="1:21" ht="12.5">
      <c r="B101" s="145" t="str">
        <f t="shared" si="17"/>
        <v/>
      </c>
      <c r="C101" s="496">
        <f>IF(D94="","-",+C100+1)</f>
        <v>2011</v>
      </c>
      <c r="D101" s="497">
        <v>973395.68965517241</v>
      </c>
      <c r="E101" s="499">
        <v>16996.161034482757</v>
      </c>
      <c r="F101" s="506">
        <v>956399.52862068964</v>
      </c>
      <c r="G101" s="506">
        <v>964897.60913793102</v>
      </c>
      <c r="H101" s="499">
        <v>88738.637904978968</v>
      </c>
      <c r="I101" s="500">
        <v>88738.637904978968</v>
      </c>
      <c r="J101" s="505">
        <v>0</v>
      </c>
      <c r="K101" s="505"/>
      <c r="L101" s="507">
        <f t="shared" si="19"/>
        <v>88738.637904978968</v>
      </c>
      <c r="M101" s="505">
        <f t="shared" ref="M101:M131" si="23">IF(L101&lt;&gt;0,+H101-L101,0)</f>
        <v>0</v>
      </c>
      <c r="N101" s="507">
        <f t="shared" si="20"/>
        <v>88738.637904978968</v>
      </c>
      <c r="O101" s="505">
        <f t="shared" si="21"/>
        <v>0</v>
      </c>
      <c r="P101" s="505">
        <f t="shared" si="22"/>
        <v>0</v>
      </c>
      <c r="Q101" s="244"/>
      <c r="R101" s="244"/>
      <c r="S101" s="244"/>
      <c r="T101" s="244"/>
      <c r="U101" s="244"/>
    </row>
    <row r="102" spans="1:21" ht="12.5">
      <c r="B102" s="145" t="str">
        <f t="shared" si="17"/>
        <v>IU</v>
      </c>
      <c r="C102" s="496">
        <f>IF(D94="","-",+C101+1)</f>
        <v>2012</v>
      </c>
      <c r="D102" s="497">
        <v>960316.86862068961</v>
      </c>
      <c r="E102" s="499">
        <v>16996.161034482757</v>
      </c>
      <c r="F102" s="506">
        <v>943320.70758620685</v>
      </c>
      <c r="G102" s="506">
        <v>951818.78810344823</v>
      </c>
      <c r="H102" s="499">
        <v>113462.4664066085</v>
      </c>
      <c r="I102" s="500">
        <v>113462.4664066085</v>
      </c>
      <c r="J102" s="505">
        <v>0</v>
      </c>
      <c r="K102" s="505"/>
      <c r="L102" s="507">
        <f t="shared" si="19"/>
        <v>113462.4664066085</v>
      </c>
      <c r="M102" s="505">
        <f t="shared" ref="M102:M107" si="24">IF(L102&lt;&gt;0,+H102-L102,0)</f>
        <v>0</v>
      </c>
      <c r="N102" s="507">
        <f t="shared" si="20"/>
        <v>113462.4664066085</v>
      </c>
      <c r="O102" s="505">
        <f>IF(N102&lt;&gt;0,+I102-N102,0)</f>
        <v>0</v>
      </c>
      <c r="P102" s="505">
        <f>+O102-M102</f>
        <v>0</v>
      </c>
      <c r="Q102" s="244"/>
      <c r="R102" s="244"/>
      <c r="S102" s="244"/>
      <c r="T102" s="244"/>
      <c r="U102" s="244"/>
    </row>
    <row r="103" spans="1:21" ht="12.5">
      <c r="B103" s="145" t="str">
        <f t="shared" si="17"/>
        <v/>
      </c>
      <c r="C103" s="496">
        <f>IF(D94="","-",+C102+1)</f>
        <v>2013</v>
      </c>
      <c r="D103" s="497">
        <v>943320.70758620685</v>
      </c>
      <c r="E103" s="499">
        <v>16996.161034482757</v>
      </c>
      <c r="F103" s="506">
        <v>926324.54655172408</v>
      </c>
      <c r="G103" s="506">
        <v>934822.62706896546</v>
      </c>
      <c r="H103" s="499">
        <v>123248.05893507614</v>
      </c>
      <c r="I103" s="500">
        <v>123248.05893507614</v>
      </c>
      <c r="J103" s="505">
        <v>0</v>
      </c>
      <c r="K103" s="505"/>
      <c r="L103" s="507">
        <f t="shared" si="19"/>
        <v>123248.05893507614</v>
      </c>
      <c r="M103" s="505">
        <f t="shared" si="24"/>
        <v>0</v>
      </c>
      <c r="N103" s="507">
        <f t="shared" si="20"/>
        <v>123248.05893507614</v>
      </c>
      <c r="O103" s="505">
        <f>IF(N103&lt;&gt;0,+I103-N103,0)</f>
        <v>0</v>
      </c>
      <c r="P103" s="505">
        <f>+O103-M103</f>
        <v>0</v>
      </c>
      <c r="Q103" s="244"/>
      <c r="R103" s="244"/>
      <c r="S103" s="244"/>
      <c r="T103" s="244"/>
      <c r="U103" s="244"/>
    </row>
    <row r="104" spans="1:21" ht="12.5">
      <c r="B104" s="145" t="str">
        <f t="shared" si="17"/>
        <v/>
      </c>
      <c r="C104" s="496">
        <f>IF(D94="","-",+C103+1)</f>
        <v>2014</v>
      </c>
      <c r="D104" s="497">
        <v>926324.54655172408</v>
      </c>
      <c r="E104" s="499">
        <v>16996.161034482757</v>
      </c>
      <c r="F104" s="506">
        <v>909328.38551724132</v>
      </c>
      <c r="G104" s="506">
        <v>917826.4660344827</v>
      </c>
      <c r="H104" s="499">
        <v>115702.36527195803</v>
      </c>
      <c r="I104" s="500">
        <v>115702.36527195803</v>
      </c>
      <c r="J104" s="505">
        <v>0</v>
      </c>
      <c r="K104" s="505"/>
      <c r="L104" s="507">
        <f t="shared" si="19"/>
        <v>115702.36527195803</v>
      </c>
      <c r="M104" s="505">
        <f t="shared" si="24"/>
        <v>0</v>
      </c>
      <c r="N104" s="507">
        <f t="shared" si="20"/>
        <v>115702.36527195803</v>
      </c>
      <c r="O104" s="505">
        <f>IF(N104&lt;&gt;0,+I104-N104,0)</f>
        <v>0</v>
      </c>
      <c r="P104" s="505">
        <f>+O104-M104</f>
        <v>0</v>
      </c>
      <c r="Q104" s="244"/>
      <c r="R104" s="244"/>
      <c r="S104" s="244"/>
      <c r="T104" s="244"/>
      <c r="U104" s="244"/>
    </row>
    <row r="105" spans="1:21" ht="12.5">
      <c r="B105" s="145" t="str">
        <f t="shared" si="17"/>
        <v/>
      </c>
      <c r="C105" s="496">
        <f>IF(D94="","-",+C104+1)</f>
        <v>2015</v>
      </c>
      <c r="D105" s="497">
        <v>909328.38551724132</v>
      </c>
      <c r="E105" s="499">
        <v>20537.027916666666</v>
      </c>
      <c r="F105" s="506">
        <v>888791.35760057461</v>
      </c>
      <c r="G105" s="506">
        <v>899059.87155890791</v>
      </c>
      <c r="H105" s="499">
        <v>120628.84968807173</v>
      </c>
      <c r="I105" s="500">
        <v>120628.84968807173</v>
      </c>
      <c r="J105" s="505">
        <f t="shared" si="18"/>
        <v>0</v>
      </c>
      <c r="K105" s="505"/>
      <c r="L105" s="507">
        <f t="shared" si="19"/>
        <v>120628.84968807173</v>
      </c>
      <c r="M105" s="505">
        <f t="shared" si="24"/>
        <v>0</v>
      </c>
      <c r="N105" s="507">
        <f t="shared" si="20"/>
        <v>120628.84968807173</v>
      </c>
      <c r="O105" s="505">
        <f t="shared" si="21"/>
        <v>0</v>
      </c>
      <c r="P105" s="505">
        <f t="shared" si="22"/>
        <v>0</v>
      </c>
      <c r="Q105" s="244"/>
      <c r="R105" s="244"/>
      <c r="S105" s="244"/>
      <c r="T105" s="244"/>
      <c r="U105" s="244"/>
    </row>
    <row r="106" spans="1:21" ht="12.5">
      <c r="B106" s="145" t="str">
        <f t="shared" si="17"/>
        <v/>
      </c>
      <c r="C106" s="496">
        <f>IF(D94="","-",+C105+1)</f>
        <v>2016</v>
      </c>
      <c r="D106" s="497">
        <v>888791.35760057461</v>
      </c>
      <c r="E106" s="499">
        <v>19328.967450980392</v>
      </c>
      <c r="F106" s="506">
        <v>869462.39014959417</v>
      </c>
      <c r="G106" s="506">
        <v>879126.87387508433</v>
      </c>
      <c r="H106" s="499">
        <v>114599.47152988262</v>
      </c>
      <c r="I106" s="500">
        <v>114599.47152988262</v>
      </c>
      <c r="J106" s="505">
        <f t="shared" si="18"/>
        <v>0</v>
      </c>
      <c r="K106" s="505"/>
      <c r="L106" s="507">
        <f>H106</f>
        <v>114599.47152988262</v>
      </c>
      <c r="M106" s="505">
        <f t="shared" si="24"/>
        <v>0</v>
      </c>
      <c r="N106" s="507">
        <f>I106</f>
        <v>114599.47152988262</v>
      </c>
      <c r="O106" s="505">
        <f>IF(N106&lt;&gt;0,+I106-N106,0)</f>
        <v>0</v>
      </c>
      <c r="P106" s="505">
        <f>+O106-M106</f>
        <v>0</v>
      </c>
      <c r="Q106" s="244"/>
      <c r="R106" s="244"/>
      <c r="S106" s="244"/>
      <c r="T106" s="244"/>
      <c r="U106" s="244"/>
    </row>
    <row r="107" spans="1:21" ht="12.5">
      <c r="B107" s="145" t="str">
        <f t="shared" si="17"/>
        <v/>
      </c>
      <c r="C107" s="496">
        <f>IF(D94="","-",+C106+1)</f>
        <v>2017</v>
      </c>
      <c r="D107" s="497">
        <v>869462.39014959417</v>
      </c>
      <c r="E107" s="499">
        <v>24644.433499999999</v>
      </c>
      <c r="F107" s="506">
        <v>844817.95664959413</v>
      </c>
      <c r="G107" s="506">
        <v>857140.17339959415</v>
      </c>
      <c r="H107" s="499">
        <v>125217.71649626724</v>
      </c>
      <c r="I107" s="500">
        <v>125217.71649626724</v>
      </c>
      <c r="J107" s="505">
        <f t="shared" si="18"/>
        <v>0</v>
      </c>
      <c r="K107" s="505"/>
      <c r="L107" s="507">
        <f>H107</f>
        <v>125217.71649626724</v>
      </c>
      <c r="M107" s="505">
        <f t="shared" si="24"/>
        <v>0</v>
      </c>
      <c r="N107" s="507">
        <f>I107</f>
        <v>125217.71649626724</v>
      </c>
      <c r="O107" s="505">
        <f>IF(N107&lt;&gt;0,+I107-N107,0)</f>
        <v>0</v>
      </c>
      <c r="P107" s="505">
        <f>+O107-M107</f>
        <v>0</v>
      </c>
      <c r="Q107" s="244"/>
      <c r="R107" s="244"/>
      <c r="S107" s="244"/>
      <c r="T107" s="244"/>
      <c r="U107" s="244"/>
    </row>
    <row r="108" spans="1:21" ht="12.5">
      <c r="B108" s="145" t="str">
        <f t="shared" si="17"/>
        <v/>
      </c>
      <c r="C108" s="496">
        <f>IF(D94="","-",+C107+1)</f>
        <v>2018</v>
      </c>
      <c r="D108" s="497">
        <v>844817.95664959413</v>
      </c>
      <c r="E108" s="499">
        <v>27382.703888888889</v>
      </c>
      <c r="F108" s="506">
        <v>817435.25276070519</v>
      </c>
      <c r="G108" s="506">
        <v>831126.60470514966</v>
      </c>
      <c r="H108" s="499">
        <v>115118.46379296975</v>
      </c>
      <c r="I108" s="500">
        <v>115118.46379296975</v>
      </c>
      <c r="J108" s="505">
        <f t="shared" si="18"/>
        <v>0</v>
      </c>
      <c r="K108" s="505"/>
      <c r="L108" s="507">
        <f>H108</f>
        <v>115118.46379296975</v>
      </c>
      <c r="M108" s="505">
        <f t="shared" ref="M108" si="25">IF(L108&lt;&gt;0,+H108-L108,0)</f>
        <v>0</v>
      </c>
      <c r="N108" s="507">
        <f>I108</f>
        <v>115118.46379296975</v>
      </c>
      <c r="O108" s="505">
        <f>IF(N108&lt;&gt;0,+I108-N108,0)</f>
        <v>0</v>
      </c>
      <c r="P108" s="505">
        <f>+O108-M108</f>
        <v>0</v>
      </c>
      <c r="Q108" s="244"/>
      <c r="R108" s="244"/>
      <c r="S108" s="244"/>
      <c r="T108" s="244"/>
      <c r="U108" s="244"/>
    </row>
    <row r="109" spans="1:21" ht="12.5">
      <c r="B109" s="145" t="str">
        <f t="shared" si="17"/>
        <v/>
      </c>
      <c r="C109" s="496">
        <f>IF(D94="","-",+C108+1)</f>
        <v>2019</v>
      </c>
      <c r="D109" s="350">
        <f>IF(F108+SUM(E$100:E108)=D$93,F108,D$93-SUM(E$100:E108))</f>
        <v>817435.25276070519</v>
      </c>
      <c r="E109" s="510">
        <f>IF(+J97&lt;F108,J97,D109)</f>
        <v>29872.040606060604</v>
      </c>
      <c r="F109" s="511">
        <f t="shared" ref="F109:F131" si="26">+D109-E109</f>
        <v>787563.21215464454</v>
      </c>
      <c r="G109" s="511">
        <f t="shared" ref="G109:G131" si="27">+(F109+D109)/2</f>
        <v>802499.23245767481</v>
      </c>
      <c r="H109" s="524">
        <f t="shared" ref="H109:H155" si="28">+J$95*G109+E109</f>
        <v>116549.36150985645</v>
      </c>
      <c r="I109" s="573">
        <f t="shared" ref="I109:I155" si="29">+J$96*G109+E109</f>
        <v>116549.36150985645</v>
      </c>
      <c r="J109" s="505">
        <f t="shared" si="18"/>
        <v>0</v>
      </c>
      <c r="K109" s="505"/>
      <c r="L109" s="513"/>
      <c r="M109" s="505">
        <f t="shared" si="23"/>
        <v>0</v>
      </c>
      <c r="N109" s="513"/>
      <c r="O109" s="505">
        <f t="shared" si="21"/>
        <v>0</v>
      </c>
      <c r="P109" s="505">
        <f t="shared" si="22"/>
        <v>0</v>
      </c>
      <c r="Q109" s="244"/>
      <c r="R109" s="244"/>
      <c r="S109" s="244"/>
      <c r="T109" s="244"/>
      <c r="U109" s="244"/>
    </row>
    <row r="110" spans="1:21" ht="12.5">
      <c r="B110" s="145" t="str">
        <f t="shared" si="17"/>
        <v/>
      </c>
      <c r="C110" s="496">
        <f>IF(D94="","-",+C109+1)</f>
        <v>2020</v>
      </c>
      <c r="D110" s="350">
        <f>IF(F109+SUM(E$100:E109)=D$93,F109,D$93-SUM(E$100:E109))</f>
        <v>787563.21215464454</v>
      </c>
      <c r="E110" s="510">
        <f>IF(+J97&lt;F109,J97,D110)</f>
        <v>29872.040606060604</v>
      </c>
      <c r="F110" s="511">
        <f t="shared" si="26"/>
        <v>757691.17154858389</v>
      </c>
      <c r="G110" s="511">
        <f t="shared" si="27"/>
        <v>772627.19185161428</v>
      </c>
      <c r="H110" s="524">
        <f t="shared" si="28"/>
        <v>113322.90552717201</v>
      </c>
      <c r="I110" s="573">
        <f t="shared" si="29"/>
        <v>113322.90552717201</v>
      </c>
      <c r="J110" s="505">
        <f t="shared" si="18"/>
        <v>0</v>
      </c>
      <c r="K110" s="505"/>
      <c r="L110" s="513"/>
      <c r="M110" s="505">
        <f t="shared" si="23"/>
        <v>0</v>
      </c>
      <c r="N110" s="513"/>
      <c r="O110" s="505">
        <f t="shared" si="21"/>
        <v>0</v>
      </c>
      <c r="P110" s="505">
        <f t="shared" si="22"/>
        <v>0</v>
      </c>
      <c r="Q110" s="244"/>
      <c r="R110" s="244"/>
      <c r="S110" s="244"/>
      <c r="T110" s="244"/>
      <c r="U110" s="244"/>
    </row>
    <row r="111" spans="1:21" ht="12.5">
      <c r="B111" s="145" t="str">
        <f t="shared" si="17"/>
        <v/>
      </c>
      <c r="C111" s="496">
        <f>IF(D94="","-",+C110+1)</f>
        <v>2021</v>
      </c>
      <c r="D111" s="350">
        <f>IF(F110+SUM(E$100:E110)=D$93,F110,D$93-SUM(E$100:E110))</f>
        <v>757691.17154858389</v>
      </c>
      <c r="E111" s="510">
        <f>IF(+J97&lt;F110,J97,D111)</f>
        <v>29872.040606060604</v>
      </c>
      <c r="F111" s="511">
        <f t="shared" si="26"/>
        <v>727819.13094252325</v>
      </c>
      <c r="G111" s="511">
        <f t="shared" si="27"/>
        <v>742755.15124555351</v>
      </c>
      <c r="H111" s="524">
        <f t="shared" si="28"/>
        <v>110096.44954448755</v>
      </c>
      <c r="I111" s="573">
        <f t="shared" si="29"/>
        <v>110096.44954448755</v>
      </c>
      <c r="J111" s="505">
        <f t="shared" si="18"/>
        <v>0</v>
      </c>
      <c r="K111" s="505"/>
      <c r="L111" s="513"/>
      <c r="M111" s="505">
        <f t="shared" si="23"/>
        <v>0</v>
      </c>
      <c r="N111" s="513"/>
      <c r="O111" s="505">
        <f t="shared" si="21"/>
        <v>0</v>
      </c>
      <c r="P111" s="505">
        <f t="shared" si="22"/>
        <v>0</v>
      </c>
      <c r="Q111" s="244"/>
      <c r="R111" s="244"/>
      <c r="S111" s="244"/>
      <c r="T111" s="244"/>
      <c r="U111" s="244"/>
    </row>
    <row r="112" spans="1:21" ht="12.5">
      <c r="B112" s="145" t="str">
        <f t="shared" si="17"/>
        <v/>
      </c>
      <c r="C112" s="496">
        <f>IF(D94="","-",+C111+1)</f>
        <v>2022</v>
      </c>
      <c r="D112" s="350">
        <f>IF(F111+SUM(E$100:E111)=D$93,F111,D$93-SUM(E$100:E111))</f>
        <v>727819.13094252325</v>
      </c>
      <c r="E112" s="510">
        <f>IF(+J97&lt;F111,J97,D112)</f>
        <v>29872.040606060604</v>
      </c>
      <c r="F112" s="511">
        <f t="shared" si="26"/>
        <v>697947.0903364626</v>
      </c>
      <c r="G112" s="511">
        <f t="shared" si="27"/>
        <v>712883.11063949298</v>
      </c>
      <c r="H112" s="524">
        <f t="shared" si="28"/>
        <v>106869.99356180313</v>
      </c>
      <c r="I112" s="573">
        <f t="shared" si="29"/>
        <v>106869.99356180313</v>
      </c>
      <c r="J112" s="505">
        <f t="shared" si="18"/>
        <v>0</v>
      </c>
      <c r="K112" s="505"/>
      <c r="L112" s="513"/>
      <c r="M112" s="505">
        <f t="shared" si="23"/>
        <v>0</v>
      </c>
      <c r="N112" s="513"/>
      <c r="O112" s="505">
        <f t="shared" si="21"/>
        <v>0</v>
      </c>
      <c r="P112" s="505">
        <f t="shared" si="22"/>
        <v>0</v>
      </c>
      <c r="Q112" s="244"/>
      <c r="R112" s="244"/>
      <c r="S112" s="244"/>
      <c r="T112" s="244"/>
      <c r="U112" s="244"/>
    </row>
    <row r="113" spans="2:21" ht="12.5">
      <c r="B113" s="145" t="str">
        <f t="shared" si="17"/>
        <v/>
      </c>
      <c r="C113" s="496">
        <f>IF(D94="","-",+C112+1)</f>
        <v>2023</v>
      </c>
      <c r="D113" s="350">
        <f>IF(F112+SUM(E$100:E112)=D$93,F112,D$93-SUM(E$100:E112))</f>
        <v>697947.0903364626</v>
      </c>
      <c r="E113" s="510">
        <f>IF(+J97&lt;F112,J97,D113)</f>
        <v>29872.040606060604</v>
      </c>
      <c r="F113" s="511">
        <f t="shared" si="26"/>
        <v>668075.04973040195</v>
      </c>
      <c r="G113" s="511">
        <f t="shared" si="27"/>
        <v>683011.07003343222</v>
      </c>
      <c r="H113" s="524">
        <f t="shared" si="28"/>
        <v>103643.53757911867</v>
      </c>
      <c r="I113" s="573">
        <f t="shared" si="29"/>
        <v>103643.53757911867</v>
      </c>
      <c r="J113" s="505">
        <f t="shared" si="18"/>
        <v>0</v>
      </c>
      <c r="K113" s="505"/>
      <c r="L113" s="513"/>
      <c r="M113" s="505">
        <f t="shared" si="23"/>
        <v>0</v>
      </c>
      <c r="N113" s="513"/>
      <c r="O113" s="505">
        <f t="shared" si="21"/>
        <v>0</v>
      </c>
      <c r="P113" s="505">
        <f t="shared" si="22"/>
        <v>0</v>
      </c>
      <c r="Q113" s="244"/>
      <c r="R113" s="244"/>
      <c r="S113" s="244"/>
      <c r="T113" s="244"/>
      <c r="U113" s="244"/>
    </row>
    <row r="114" spans="2:21" ht="12.5">
      <c r="B114" s="145" t="str">
        <f t="shared" si="17"/>
        <v/>
      </c>
      <c r="C114" s="496">
        <f>IF(D94="","-",+C113+1)</f>
        <v>2024</v>
      </c>
      <c r="D114" s="350">
        <f>IF(F113+SUM(E$100:E113)=D$93,F113,D$93-SUM(E$100:E113))</f>
        <v>668075.04973040242</v>
      </c>
      <c r="E114" s="510">
        <f>IF(+J97&lt;F113,J97,D114)</f>
        <v>29872.040606060604</v>
      </c>
      <c r="F114" s="511">
        <f t="shared" si="26"/>
        <v>638203.00912434177</v>
      </c>
      <c r="G114" s="511">
        <f t="shared" si="27"/>
        <v>653139.02942737215</v>
      </c>
      <c r="H114" s="524">
        <f t="shared" si="28"/>
        <v>100417.08159643429</v>
      </c>
      <c r="I114" s="573">
        <f t="shared" si="29"/>
        <v>100417.08159643429</v>
      </c>
      <c r="J114" s="505">
        <f t="shared" si="18"/>
        <v>0</v>
      </c>
      <c r="K114" s="505"/>
      <c r="L114" s="513"/>
      <c r="M114" s="505">
        <f t="shared" si="23"/>
        <v>0</v>
      </c>
      <c r="N114" s="513"/>
      <c r="O114" s="505">
        <f t="shared" si="21"/>
        <v>0</v>
      </c>
      <c r="P114" s="505">
        <f t="shared" si="22"/>
        <v>0</v>
      </c>
      <c r="Q114" s="244"/>
      <c r="R114" s="244"/>
      <c r="S114" s="244"/>
      <c r="T114" s="244"/>
      <c r="U114" s="244"/>
    </row>
    <row r="115" spans="2:21" ht="12.5">
      <c r="B115" s="145" t="str">
        <f t="shared" si="17"/>
        <v/>
      </c>
      <c r="C115" s="496">
        <f>IF(D94="","-",+C114+1)</f>
        <v>2025</v>
      </c>
      <c r="D115" s="350">
        <f>IF(F114+SUM(E$100:E114)=D$93,F114,D$93-SUM(E$100:E114))</f>
        <v>638203.00912434177</v>
      </c>
      <c r="E115" s="510">
        <f>IF(+J97&lt;F114,J97,D115)</f>
        <v>29872.040606060604</v>
      </c>
      <c r="F115" s="511">
        <f t="shared" si="26"/>
        <v>608330.96851828112</v>
      </c>
      <c r="G115" s="511">
        <f t="shared" si="27"/>
        <v>623266.98882131139</v>
      </c>
      <c r="H115" s="524">
        <f t="shared" si="28"/>
        <v>97190.625613749828</v>
      </c>
      <c r="I115" s="573">
        <f t="shared" si="29"/>
        <v>97190.625613749828</v>
      </c>
      <c r="J115" s="505">
        <f t="shared" si="18"/>
        <v>0</v>
      </c>
      <c r="K115" s="505"/>
      <c r="L115" s="513"/>
      <c r="M115" s="505">
        <f t="shared" si="23"/>
        <v>0</v>
      </c>
      <c r="N115" s="513"/>
      <c r="O115" s="505">
        <f t="shared" si="21"/>
        <v>0</v>
      </c>
      <c r="P115" s="505">
        <f t="shared" si="22"/>
        <v>0</v>
      </c>
      <c r="Q115" s="244"/>
      <c r="R115" s="244"/>
      <c r="S115" s="244"/>
      <c r="T115" s="244"/>
      <c r="U115" s="244"/>
    </row>
    <row r="116" spans="2:21" ht="12.5">
      <c r="B116" s="145" t="str">
        <f t="shared" si="17"/>
        <v/>
      </c>
      <c r="C116" s="496">
        <f>IF(D94="","-",+C115+1)</f>
        <v>2026</v>
      </c>
      <c r="D116" s="350">
        <f>IF(F115+SUM(E$100:E115)=D$93,F115,D$93-SUM(E$100:E115))</f>
        <v>608330.96851828112</v>
      </c>
      <c r="E116" s="510">
        <f>IF(+J97&lt;F115,J97,D116)</f>
        <v>29872.040606060604</v>
      </c>
      <c r="F116" s="511">
        <f t="shared" si="26"/>
        <v>578458.92791222048</v>
      </c>
      <c r="G116" s="511">
        <f t="shared" si="27"/>
        <v>593394.94821525086</v>
      </c>
      <c r="H116" s="524">
        <f t="shared" si="28"/>
        <v>93964.169631065393</v>
      </c>
      <c r="I116" s="573">
        <f t="shared" si="29"/>
        <v>93964.169631065393</v>
      </c>
      <c r="J116" s="505">
        <f t="shared" si="18"/>
        <v>0</v>
      </c>
      <c r="K116" s="505"/>
      <c r="L116" s="513"/>
      <c r="M116" s="505">
        <f t="shared" si="23"/>
        <v>0</v>
      </c>
      <c r="N116" s="513"/>
      <c r="O116" s="505">
        <f t="shared" si="21"/>
        <v>0</v>
      </c>
      <c r="P116" s="505">
        <f t="shared" si="22"/>
        <v>0</v>
      </c>
      <c r="Q116" s="244"/>
      <c r="R116" s="244"/>
      <c r="S116" s="244"/>
      <c r="T116" s="244"/>
      <c r="U116" s="244"/>
    </row>
    <row r="117" spans="2:21" ht="12.5">
      <c r="B117" s="145" t="str">
        <f t="shared" si="17"/>
        <v/>
      </c>
      <c r="C117" s="496">
        <f>IF(D94="","-",+C116+1)</f>
        <v>2027</v>
      </c>
      <c r="D117" s="350">
        <f>IF(F116+SUM(E$100:E116)=D$93,F116,D$93-SUM(E$100:E116))</f>
        <v>578458.92791222048</v>
      </c>
      <c r="E117" s="510">
        <f>IF(+J97&lt;F116,J97,D117)</f>
        <v>29872.040606060604</v>
      </c>
      <c r="F117" s="511">
        <f t="shared" si="26"/>
        <v>548586.88730615983</v>
      </c>
      <c r="G117" s="511">
        <f t="shared" si="27"/>
        <v>563522.90760919009</v>
      </c>
      <c r="H117" s="524">
        <f t="shared" si="28"/>
        <v>90737.713648380945</v>
      </c>
      <c r="I117" s="573">
        <f t="shared" si="29"/>
        <v>90737.713648380945</v>
      </c>
      <c r="J117" s="505">
        <f t="shared" si="18"/>
        <v>0</v>
      </c>
      <c r="K117" s="505"/>
      <c r="L117" s="513"/>
      <c r="M117" s="505">
        <f t="shared" si="23"/>
        <v>0</v>
      </c>
      <c r="N117" s="513"/>
      <c r="O117" s="505">
        <f t="shared" si="21"/>
        <v>0</v>
      </c>
      <c r="P117" s="505">
        <f t="shared" si="22"/>
        <v>0</v>
      </c>
      <c r="Q117" s="244"/>
      <c r="R117" s="244"/>
      <c r="S117" s="244"/>
      <c r="T117" s="244"/>
      <c r="U117" s="244"/>
    </row>
    <row r="118" spans="2:21" ht="12.5">
      <c r="B118" s="145" t="str">
        <f t="shared" si="17"/>
        <v/>
      </c>
      <c r="C118" s="496">
        <f>IF(D94="","-",+C117+1)</f>
        <v>2028</v>
      </c>
      <c r="D118" s="350">
        <f>IF(F117+SUM(E$100:E117)=D$93,F117,D$93-SUM(E$100:E117))</f>
        <v>548586.88730615983</v>
      </c>
      <c r="E118" s="510">
        <f>IF(+J97&lt;F117,J97,D118)</f>
        <v>29872.040606060604</v>
      </c>
      <c r="F118" s="511">
        <f t="shared" si="26"/>
        <v>518714.84670009924</v>
      </c>
      <c r="G118" s="511">
        <f t="shared" si="27"/>
        <v>533650.86700312956</v>
      </c>
      <c r="H118" s="524">
        <f t="shared" si="28"/>
        <v>87511.257665696525</v>
      </c>
      <c r="I118" s="573">
        <f t="shared" si="29"/>
        <v>87511.257665696525</v>
      </c>
      <c r="J118" s="505">
        <f t="shared" si="18"/>
        <v>0</v>
      </c>
      <c r="K118" s="505"/>
      <c r="L118" s="513"/>
      <c r="M118" s="505">
        <f t="shared" si="23"/>
        <v>0</v>
      </c>
      <c r="N118" s="513"/>
      <c r="O118" s="505">
        <f t="shared" si="21"/>
        <v>0</v>
      </c>
      <c r="P118" s="505">
        <f t="shared" si="22"/>
        <v>0</v>
      </c>
      <c r="Q118" s="244"/>
      <c r="R118" s="244"/>
      <c r="S118" s="244"/>
      <c r="T118" s="244"/>
      <c r="U118" s="244"/>
    </row>
    <row r="119" spans="2:21" ht="12.5">
      <c r="B119" s="145" t="str">
        <f t="shared" si="17"/>
        <v/>
      </c>
      <c r="C119" s="496">
        <f>IF(D94="","-",+C118+1)</f>
        <v>2029</v>
      </c>
      <c r="D119" s="350">
        <f>IF(F118+SUM(E$100:E118)=D$93,F118,D$93-SUM(E$100:E118))</f>
        <v>518714.84670009924</v>
      </c>
      <c r="E119" s="510">
        <f>IF(+J97&lt;F118,J97,D119)</f>
        <v>29872.040606060604</v>
      </c>
      <c r="F119" s="511">
        <f t="shared" si="26"/>
        <v>488842.80609403865</v>
      </c>
      <c r="G119" s="511">
        <f t="shared" si="27"/>
        <v>503778.82639706891</v>
      </c>
      <c r="H119" s="524">
        <f t="shared" si="28"/>
        <v>84284.801683012076</v>
      </c>
      <c r="I119" s="573">
        <f t="shared" si="29"/>
        <v>84284.801683012076</v>
      </c>
      <c r="J119" s="505">
        <f t="shared" si="18"/>
        <v>0</v>
      </c>
      <c r="K119" s="505"/>
      <c r="L119" s="513"/>
      <c r="M119" s="505">
        <f t="shared" si="23"/>
        <v>0</v>
      </c>
      <c r="N119" s="513"/>
      <c r="O119" s="505">
        <f t="shared" si="21"/>
        <v>0</v>
      </c>
      <c r="P119" s="505">
        <f t="shared" si="22"/>
        <v>0</v>
      </c>
      <c r="Q119" s="244"/>
      <c r="R119" s="244"/>
      <c r="S119" s="244"/>
      <c r="T119" s="244"/>
      <c r="U119" s="244"/>
    </row>
    <row r="120" spans="2:21" ht="12.5">
      <c r="B120" s="145" t="str">
        <f t="shared" si="17"/>
        <v/>
      </c>
      <c r="C120" s="496">
        <f>IF(D94="","-",+C119+1)</f>
        <v>2030</v>
      </c>
      <c r="D120" s="350">
        <f>IF(F119+SUM(E$100:E119)=D$93,F119,D$93-SUM(E$100:E119))</f>
        <v>488842.80609403865</v>
      </c>
      <c r="E120" s="510">
        <f>IF(+J97&lt;F119,J97,D120)</f>
        <v>29872.040606060604</v>
      </c>
      <c r="F120" s="511">
        <f t="shared" si="26"/>
        <v>458970.76548797806</v>
      </c>
      <c r="G120" s="511">
        <f t="shared" si="27"/>
        <v>473906.78579100838</v>
      </c>
      <c r="H120" s="524">
        <f t="shared" si="28"/>
        <v>81058.345700327642</v>
      </c>
      <c r="I120" s="573">
        <f t="shared" si="29"/>
        <v>81058.345700327642</v>
      </c>
      <c r="J120" s="505">
        <f t="shared" si="18"/>
        <v>0</v>
      </c>
      <c r="K120" s="505"/>
      <c r="L120" s="513"/>
      <c r="M120" s="505">
        <f t="shared" si="23"/>
        <v>0</v>
      </c>
      <c r="N120" s="513"/>
      <c r="O120" s="505">
        <f t="shared" si="21"/>
        <v>0</v>
      </c>
      <c r="P120" s="505">
        <f t="shared" si="22"/>
        <v>0</v>
      </c>
      <c r="Q120" s="244"/>
      <c r="R120" s="244"/>
      <c r="S120" s="244"/>
      <c r="T120" s="244"/>
      <c r="U120" s="244"/>
    </row>
    <row r="121" spans="2:21" ht="12.5">
      <c r="B121" s="145" t="str">
        <f t="shared" si="17"/>
        <v/>
      </c>
      <c r="C121" s="496">
        <f>IF(D94="","-",+C120+1)</f>
        <v>2031</v>
      </c>
      <c r="D121" s="350">
        <f>IF(F120+SUM(E$100:E120)=D$93,F120,D$93-SUM(E$100:E120))</f>
        <v>458970.76548797806</v>
      </c>
      <c r="E121" s="510">
        <f>IF(+J97&lt;F120,J97,D121)</f>
        <v>29872.040606060604</v>
      </c>
      <c r="F121" s="511">
        <f t="shared" si="26"/>
        <v>429098.72488191747</v>
      </c>
      <c r="G121" s="511">
        <f t="shared" si="27"/>
        <v>444034.74518494774</v>
      </c>
      <c r="H121" s="524">
        <f t="shared" si="28"/>
        <v>77831.889717643207</v>
      </c>
      <c r="I121" s="573">
        <f t="shared" si="29"/>
        <v>77831.889717643207</v>
      </c>
      <c r="J121" s="505">
        <f t="shared" si="18"/>
        <v>0</v>
      </c>
      <c r="K121" s="505"/>
      <c r="L121" s="513"/>
      <c r="M121" s="505">
        <f t="shared" si="23"/>
        <v>0</v>
      </c>
      <c r="N121" s="513"/>
      <c r="O121" s="505">
        <f t="shared" si="21"/>
        <v>0</v>
      </c>
      <c r="P121" s="505">
        <f t="shared" si="22"/>
        <v>0</v>
      </c>
      <c r="Q121" s="244"/>
      <c r="R121" s="244"/>
      <c r="S121" s="244"/>
      <c r="T121" s="244"/>
      <c r="U121" s="244"/>
    </row>
    <row r="122" spans="2:21" ht="12.5">
      <c r="B122" s="145" t="str">
        <f t="shared" si="17"/>
        <v/>
      </c>
      <c r="C122" s="496">
        <f>IF(D94="","-",+C121+1)</f>
        <v>2032</v>
      </c>
      <c r="D122" s="350">
        <f>IF(F121+SUM(E$100:E121)=D$93,F121,D$93-SUM(E$100:E121))</f>
        <v>429098.72488191747</v>
      </c>
      <c r="E122" s="510">
        <f>IF(+J97&lt;F121,J97,D122)</f>
        <v>29872.040606060604</v>
      </c>
      <c r="F122" s="511">
        <f t="shared" si="26"/>
        <v>399226.68427585688</v>
      </c>
      <c r="G122" s="511">
        <f t="shared" si="27"/>
        <v>414162.70457888721</v>
      </c>
      <c r="H122" s="524">
        <f t="shared" si="28"/>
        <v>74605.433734958759</v>
      </c>
      <c r="I122" s="573">
        <f t="shared" si="29"/>
        <v>74605.433734958759</v>
      </c>
      <c r="J122" s="505">
        <f t="shared" si="18"/>
        <v>0</v>
      </c>
      <c r="K122" s="505"/>
      <c r="L122" s="513"/>
      <c r="M122" s="505">
        <f t="shared" si="23"/>
        <v>0</v>
      </c>
      <c r="N122" s="513"/>
      <c r="O122" s="505">
        <f t="shared" si="21"/>
        <v>0</v>
      </c>
      <c r="P122" s="505">
        <f t="shared" si="22"/>
        <v>0</v>
      </c>
      <c r="Q122" s="244"/>
      <c r="R122" s="244"/>
      <c r="S122" s="244"/>
      <c r="T122" s="244"/>
      <c r="U122" s="244"/>
    </row>
    <row r="123" spans="2:21" ht="12.5">
      <c r="B123" s="145" t="str">
        <f t="shared" si="17"/>
        <v/>
      </c>
      <c r="C123" s="496">
        <f>IF(D94="","-",+C122+1)</f>
        <v>2033</v>
      </c>
      <c r="D123" s="350">
        <f>IF(F122+SUM(E$100:E122)=D$93,F122,D$93-SUM(E$100:E122))</f>
        <v>399226.68427585688</v>
      </c>
      <c r="E123" s="510">
        <f>IF(+J97&lt;F122,J97,D123)</f>
        <v>29872.040606060604</v>
      </c>
      <c r="F123" s="511">
        <f t="shared" si="26"/>
        <v>369354.64366979629</v>
      </c>
      <c r="G123" s="511">
        <f t="shared" si="27"/>
        <v>384290.66397282656</v>
      </c>
      <c r="H123" s="524">
        <f t="shared" si="28"/>
        <v>71378.977752274324</v>
      </c>
      <c r="I123" s="573">
        <f t="shared" si="29"/>
        <v>71378.977752274324</v>
      </c>
      <c r="J123" s="505">
        <f t="shared" si="18"/>
        <v>0</v>
      </c>
      <c r="K123" s="505"/>
      <c r="L123" s="513"/>
      <c r="M123" s="505">
        <f t="shared" si="23"/>
        <v>0</v>
      </c>
      <c r="N123" s="513"/>
      <c r="O123" s="505">
        <f t="shared" si="21"/>
        <v>0</v>
      </c>
      <c r="P123" s="505">
        <f t="shared" si="22"/>
        <v>0</v>
      </c>
      <c r="Q123" s="244"/>
      <c r="R123" s="244"/>
      <c r="S123" s="244"/>
      <c r="T123" s="244"/>
      <c r="U123" s="244"/>
    </row>
    <row r="124" spans="2:21" ht="12.5">
      <c r="B124" s="145" t="str">
        <f t="shared" si="17"/>
        <v/>
      </c>
      <c r="C124" s="496">
        <f>IF(D94="","-",+C123+1)</f>
        <v>2034</v>
      </c>
      <c r="D124" s="350">
        <f>IF(F123+SUM(E$100:E123)=D$93,F123,D$93-SUM(E$100:E123))</f>
        <v>369354.64366979629</v>
      </c>
      <c r="E124" s="510">
        <f>IF(+J97&lt;F123,J97,D124)</f>
        <v>29872.040606060604</v>
      </c>
      <c r="F124" s="511">
        <f t="shared" si="26"/>
        <v>339482.6030637357</v>
      </c>
      <c r="G124" s="511">
        <f t="shared" si="27"/>
        <v>354418.62336676603</v>
      </c>
      <c r="H124" s="524">
        <f t="shared" si="28"/>
        <v>68152.52176958989</v>
      </c>
      <c r="I124" s="573">
        <f t="shared" si="29"/>
        <v>68152.52176958989</v>
      </c>
      <c r="J124" s="505">
        <f t="shared" si="18"/>
        <v>0</v>
      </c>
      <c r="K124" s="505"/>
      <c r="L124" s="513"/>
      <c r="M124" s="505">
        <f t="shared" si="23"/>
        <v>0</v>
      </c>
      <c r="N124" s="513"/>
      <c r="O124" s="505">
        <f t="shared" si="21"/>
        <v>0</v>
      </c>
      <c r="P124" s="505">
        <f t="shared" si="22"/>
        <v>0</v>
      </c>
      <c r="Q124" s="244"/>
      <c r="R124" s="244"/>
      <c r="S124" s="244"/>
      <c r="T124" s="244"/>
      <c r="U124" s="244"/>
    </row>
    <row r="125" spans="2:21" ht="12.5">
      <c r="B125" s="145" t="str">
        <f t="shared" si="17"/>
        <v/>
      </c>
      <c r="C125" s="496">
        <f>IF(D94="","-",+C124+1)</f>
        <v>2035</v>
      </c>
      <c r="D125" s="350">
        <f>IF(F124+SUM(E$100:E124)=D$93,F124,D$93-SUM(E$100:E124))</f>
        <v>339482.6030637357</v>
      </c>
      <c r="E125" s="510">
        <f>IF(+J97&lt;F124,J97,D125)</f>
        <v>29872.040606060604</v>
      </c>
      <c r="F125" s="511">
        <f t="shared" si="26"/>
        <v>309610.56245767511</v>
      </c>
      <c r="G125" s="511">
        <f t="shared" si="27"/>
        <v>324546.58276070538</v>
      </c>
      <c r="H125" s="524">
        <f t="shared" si="28"/>
        <v>64926.065786905448</v>
      </c>
      <c r="I125" s="573">
        <f t="shared" si="29"/>
        <v>64926.065786905448</v>
      </c>
      <c r="J125" s="505">
        <f t="shared" si="18"/>
        <v>0</v>
      </c>
      <c r="K125" s="505"/>
      <c r="L125" s="513"/>
      <c r="M125" s="505">
        <f t="shared" si="23"/>
        <v>0</v>
      </c>
      <c r="N125" s="513"/>
      <c r="O125" s="505">
        <f t="shared" si="21"/>
        <v>0</v>
      </c>
      <c r="P125" s="505">
        <f t="shared" si="22"/>
        <v>0</v>
      </c>
      <c r="Q125" s="244"/>
      <c r="R125" s="244"/>
      <c r="S125" s="244"/>
      <c r="T125" s="244"/>
      <c r="U125" s="244"/>
    </row>
    <row r="126" spans="2:21" ht="12.5">
      <c r="B126" s="145" t="str">
        <f t="shared" si="17"/>
        <v/>
      </c>
      <c r="C126" s="496">
        <f>IF(D94="","-",+C125+1)</f>
        <v>2036</v>
      </c>
      <c r="D126" s="350">
        <f>IF(F125+SUM(E$100:E125)=D$93,F125,D$93-SUM(E$100:E125))</f>
        <v>309610.56245767511</v>
      </c>
      <c r="E126" s="510">
        <f>IF(+J97&lt;F125,J97,D126)</f>
        <v>29872.040606060604</v>
      </c>
      <c r="F126" s="511">
        <f t="shared" si="26"/>
        <v>279738.52185161453</v>
      </c>
      <c r="G126" s="511">
        <f t="shared" si="27"/>
        <v>294674.54215464485</v>
      </c>
      <c r="H126" s="524">
        <f t="shared" si="28"/>
        <v>61699.609804221021</v>
      </c>
      <c r="I126" s="573">
        <f t="shared" si="29"/>
        <v>61699.609804221021</v>
      </c>
      <c r="J126" s="505">
        <f t="shared" si="18"/>
        <v>0</v>
      </c>
      <c r="K126" s="505"/>
      <c r="L126" s="513"/>
      <c r="M126" s="505">
        <f t="shared" si="23"/>
        <v>0</v>
      </c>
      <c r="N126" s="513"/>
      <c r="O126" s="505">
        <f t="shared" si="21"/>
        <v>0</v>
      </c>
      <c r="P126" s="505">
        <f t="shared" si="22"/>
        <v>0</v>
      </c>
      <c r="Q126" s="244"/>
      <c r="R126" s="244"/>
      <c r="S126" s="244"/>
      <c r="T126" s="244"/>
      <c r="U126" s="244"/>
    </row>
    <row r="127" spans="2:21" ht="12.5">
      <c r="B127" s="145" t="str">
        <f t="shared" si="17"/>
        <v/>
      </c>
      <c r="C127" s="496">
        <f>IF(D94="","-",+C126+1)</f>
        <v>2037</v>
      </c>
      <c r="D127" s="350">
        <f>IF(F126+SUM(E$100:E126)=D$93,F126,D$93-SUM(E$100:E126))</f>
        <v>279738.52185161453</v>
      </c>
      <c r="E127" s="510">
        <f>IF(+J97&lt;F126,J97,D127)</f>
        <v>29872.040606060604</v>
      </c>
      <c r="F127" s="511">
        <f t="shared" si="26"/>
        <v>249866.48124555394</v>
      </c>
      <c r="G127" s="511">
        <f t="shared" si="27"/>
        <v>264802.5015485842</v>
      </c>
      <c r="H127" s="524">
        <f t="shared" si="28"/>
        <v>58473.153821536573</v>
      </c>
      <c r="I127" s="573">
        <f t="shared" si="29"/>
        <v>58473.153821536573</v>
      </c>
      <c r="J127" s="505">
        <f t="shared" si="18"/>
        <v>0</v>
      </c>
      <c r="K127" s="505"/>
      <c r="L127" s="513"/>
      <c r="M127" s="505">
        <f t="shared" si="23"/>
        <v>0</v>
      </c>
      <c r="N127" s="513"/>
      <c r="O127" s="505">
        <f t="shared" si="21"/>
        <v>0</v>
      </c>
      <c r="P127" s="505">
        <f t="shared" si="22"/>
        <v>0</v>
      </c>
      <c r="Q127" s="244"/>
      <c r="R127" s="244"/>
      <c r="S127" s="244"/>
      <c r="T127" s="244"/>
      <c r="U127" s="244"/>
    </row>
    <row r="128" spans="2:21" ht="12.5">
      <c r="B128" s="145" t="str">
        <f t="shared" si="17"/>
        <v/>
      </c>
      <c r="C128" s="496">
        <f>IF(D94="","-",+C127+1)</f>
        <v>2038</v>
      </c>
      <c r="D128" s="350">
        <f>IF(F127+SUM(E$100:E127)=D$93,F127,D$93-SUM(E$100:E127))</f>
        <v>249866.48124555394</v>
      </c>
      <c r="E128" s="510">
        <f>IF(+J97&lt;F127,J97,D128)</f>
        <v>29872.040606060604</v>
      </c>
      <c r="F128" s="511">
        <f t="shared" si="26"/>
        <v>219994.44063949335</v>
      </c>
      <c r="G128" s="511">
        <f t="shared" si="27"/>
        <v>234930.46094252364</v>
      </c>
      <c r="H128" s="524">
        <f t="shared" si="28"/>
        <v>55246.697838852138</v>
      </c>
      <c r="I128" s="573">
        <f t="shared" si="29"/>
        <v>55246.697838852138</v>
      </c>
      <c r="J128" s="505">
        <f t="shared" si="18"/>
        <v>0</v>
      </c>
      <c r="K128" s="505"/>
      <c r="L128" s="513"/>
      <c r="M128" s="505">
        <f t="shared" si="23"/>
        <v>0</v>
      </c>
      <c r="N128" s="513"/>
      <c r="O128" s="505">
        <f t="shared" si="21"/>
        <v>0</v>
      </c>
      <c r="P128" s="505">
        <f t="shared" si="22"/>
        <v>0</v>
      </c>
      <c r="Q128" s="244"/>
      <c r="R128" s="244"/>
      <c r="S128" s="244"/>
      <c r="T128" s="244"/>
      <c r="U128" s="244"/>
    </row>
    <row r="129" spans="2:21" ht="12.5">
      <c r="B129" s="145" t="str">
        <f t="shared" si="17"/>
        <v/>
      </c>
      <c r="C129" s="496">
        <f>IF(D94="","-",+C128+1)</f>
        <v>2039</v>
      </c>
      <c r="D129" s="350">
        <f>IF(F128+SUM(E$100:E128)=D$93,F128,D$93-SUM(E$100:E128))</f>
        <v>219994.44063949335</v>
      </c>
      <c r="E129" s="510">
        <f>IF(+J97&lt;F128,J97,D129)</f>
        <v>29872.040606060604</v>
      </c>
      <c r="F129" s="511">
        <f t="shared" si="26"/>
        <v>190122.40003343276</v>
      </c>
      <c r="G129" s="511">
        <f t="shared" si="27"/>
        <v>205058.42033646305</v>
      </c>
      <c r="H129" s="524">
        <f t="shared" si="28"/>
        <v>52020.241856167704</v>
      </c>
      <c r="I129" s="573">
        <f t="shared" si="29"/>
        <v>52020.241856167704</v>
      </c>
      <c r="J129" s="505">
        <f t="shared" si="18"/>
        <v>0</v>
      </c>
      <c r="K129" s="505"/>
      <c r="L129" s="513"/>
      <c r="M129" s="505">
        <f t="shared" si="23"/>
        <v>0</v>
      </c>
      <c r="N129" s="513"/>
      <c r="O129" s="505">
        <f t="shared" si="21"/>
        <v>0</v>
      </c>
      <c r="P129" s="505">
        <f t="shared" si="22"/>
        <v>0</v>
      </c>
      <c r="Q129" s="244"/>
      <c r="R129" s="244"/>
      <c r="S129" s="244"/>
      <c r="T129" s="244"/>
      <c r="U129" s="244"/>
    </row>
    <row r="130" spans="2:21" ht="12.5">
      <c r="B130" s="145" t="str">
        <f t="shared" si="17"/>
        <v/>
      </c>
      <c r="C130" s="496">
        <f>IF(D94="","-",+C129+1)</f>
        <v>2040</v>
      </c>
      <c r="D130" s="350">
        <f>IF(F129+SUM(E$100:E129)=D$93,F129,D$93-SUM(E$100:E129))</f>
        <v>190122.40003343276</v>
      </c>
      <c r="E130" s="510">
        <f>IF(+J97&lt;F129,J97,D130)</f>
        <v>29872.040606060604</v>
      </c>
      <c r="F130" s="511">
        <f t="shared" si="26"/>
        <v>160250.35942737217</v>
      </c>
      <c r="G130" s="511">
        <f t="shared" si="27"/>
        <v>175186.37973040246</v>
      </c>
      <c r="H130" s="524">
        <f t="shared" si="28"/>
        <v>48793.78587348327</v>
      </c>
      <c r="I130" s="573">
        <f t="shared" si="29"/>
        <v>48793.78587348327</v>
      </c>
      <c r="J130" s="505">
        <f t="shared" si="18"/>
        <v>0</v>
      </c>
      <c r="K130" s="505"/>
      <c r="L130" s="513"/>
      <c r="M130" s="505">
        <f t="shared" si="23"/>
        <v>0</v>
      </c>
      <c r="N130" s="513"/>
      <c r="O130" s="505">
        <f t="shared" si="21"/>
        <v>0</v>
      </c>
      <c r="P130" s="505">
        <f t="shared" si="22"/>
        <v>0</v>
      </c>
      <c r="Q130" s="244"/>
      <c r="R130" s="244"/>
      <c r="S130" s="244"/>
      <c r="T130" s="244"/>
      <c r="U130" s="244"/>
    </row>
    <row r="131" spans="2:21" ht="12.5">
      <c r="B131" s="145" t="str">
        <f t="shared" si="17"/>
        <v/>
      </c>
      <c r="C131" s="496">
        <f>IF(D94="","-",+C130+1)</f>
        <v>2041</v>
      </c>
      <c r="D131" s="350">
        <f>IF(F130+SUM(E$100:E130)=D$93,F130,D$93-SUM(E$100:E130))</f>
        <v>160250.35942737217</v>
      </c>
      <c r="E131" s="510">
        <f>IF(+J97&lt;F130,J97,D131)</f>
        <v>29872.040606060604</v>
      </c>
      <c r="F131" s="511">
        <f t="shared" si="26"/>
        <v>130378.31882131156</v>
      </c>
      <c r="G131" s="511">
        <f t="shared" si="27"/>
        <v>145314.33912434187</v>
      </c>
      <c r="H131" s="524">
        <f t="shared" si="28"/>
        <v>45567.329890798828</v>
      </c>
      <c r="I131" s="573">
        <f t="shared" si="29"/>
        <v>45567.329890798828</v>
      </c>
      <c r="J131" s="505">
        <f t="shared" si="18"/>
        <v>0</v>
      </c>
      <c r="K131" s="505"/>
      <c r="L131" s="513"/>
      <c r="M131" s="505">
        <f t="shared" si="23"/>
        <v>0</v>
      </c>
      <c r="N131" s="513"/>
      <c r="O131" s="505">
        <f t="shared" si="21"/>
        <v>0</v>
      </c>
      <c r="P131" s="505">
        <f t="shared" si="22"/>
        <v>0</v>
      </c>
      <c r="Q131" s="244"/>
      <c r="R131" s="244"/>
      <c r="S131" s="244"/>
      <c r="T131" s="244"/>
      <c r="U131" s="244"/>
    </row>
    <row r="132" spans="2:21" ht="12.5">
      <c r="B132" s="145" t="str">
        <f t="shared" si="17"/>
        <v/>
      </c>
      <c r="C132" s="496">
        <f>IF(D94="","-",+C131+1)</f>
        <v>2042</v>
      </c>
      <c r="D132" s="350">
        <f>IF(F131+SUM(E$100:E131)=D$93,F131,D$93-SUM(E$100:E131))</f>
        <v>130378.31882131156</v>
      </c>
      <c r="E132" s="510">
        <f>IF(+J97&lt;F131,J97,D132)</f>
        <v>29872.040606060604</v>
      </c>
      <c r="F132" s="511">
        <f t="shared" ref="F132:F155" si="30">+D132-E132</f>
        <v>100506.27821525096</v>
      </c>
      <c r="G132" s="511">
        <f t="shared" ref="G132:G155" si="31">+(F132+D132)/2</f>
        <v>115442.29851828126</v>
      </c>
      <c r="H132" s="524">
        <f t="shared" si="28"/>
        <v>42340.873908114387</v>
      </c>
      <c r="I132" s="573">
        <f t="shared" si="29"/>
        <v>42340.873908114387</v>
      </c>
      <c r="J132" s="505">
        <f t="shared" ref="J132:J155" si="32">+I132-H132</f>
        <v>0</v>
      </c>
      <c r="K132" s="505"/>
      <c r="L132" s="513"/>
      <c r="M132" s="505">
        <f t="shared" ref="M132:M155" si="33">IF(L132&lt;&gt;0,+H132-L132,0)</f>
        <v>0</v>
      </c>
      <c r="N132" s="513"/>
      <c r="O132" s="505">
        <f t="shared" ref="O132:O155" si="34">IF(N132&lt;&gt;0,+I132-N132,0)</f>
        <v>0</v>
      </c>
      <c r="P132" s="505">
        <f t="shared" ref="P132:P155" si="35">+O132-M132</f>
        <v>0</v>
      </c>
      <c r="Q132" s="244"/>
      <c r="R132" s="244"/>
      <c r="S132" s="244"/>
      <c r="T132" s="244"/>
      <c r="U132" s="244"/>
    </row>
    <row r="133" spans="2:21" ht="12.5">
      <c r="B133" s="145" t="str">
        <f t="shared" si="17"/>
        <v/>
      </c>
      <c r="C133" s="496">
        <f>IF(D94="","-",+C132+1)</f>
        <v>2043</v>
      </c>
      <c r="D133" s="350">
        <f>IF(F132+SUM(E$100:E132)=D$93,F132,D$93-SUM(E$100:E132))</f>
        <v>100506.27821525096</v>
      </c>
      <c r="E133" s="510">
        <f>IF(+J97&lt;F132,J97,D133)</f>
        <v>29872.040606060604</v>
      </c>
      <c r="F133" s="511">
        <f t="shared" si="30"/>
        <v>70634.237609190357</v>
      </c>
      <c r="G133" s="511">
        <f t="shared" si="31"/>
        <v>85570.257912220666</v>
      </c>
      <c r="H133" s="524">
        <f t="shared" si="28"/>
        <v>39114.417925429952</v>
      </c>
      <c r="I133" s="573">
        <f t="shared" si="29"/>
        <v>39114.417925429952</v>
      </c>
      <c r="J133" s="505">
        <f t="shared" si="32"/>
        <v>0</v>
      </c>
      <c r="K133" s="505"/>
      <c r="L133" s="513"/>
      <c r="M133" s="505">
        <f t="shared" si="33"/>
        <v>0</v>
      </c>
      <c r="N133" s="513"/>
      <c r="O133" s="505">
        <f t="shared" si="34"/>
        <v>0</v>
      </c>
      <c r="P133" s="505">
        <f t="shared" si="35"/>
        <v>0</v>
      </c>
      <c r="Q133" s="244"/>
      <c r="R133" s="244"/>
      <c r="S133" s="244"/>
      <c r="T133" s="244"/>
      <c r="U133" s="244"/>
    </row>
    <row r="134" spans="2:21" ht="12.5">
      <c r="B134" s="145" t="str">
        <f t="shared" si="17"/>
        <v/>
      </c>
      <c r="C134" s="496">
        <f>IF(D94="","-",+C133+1)</f>
        <v>2044</v>
      </c>
      <c r="D134" s="350">
        <f>IF(F133+SUM(E$100:E133)=D$93,F133,D$93-SUM(E$100:E133))</f>
        <v>70634.237609190357</v>
      </c>
      <c r="E134" s="510">
        <f>IF(+J97&lt;F133,J97,D134)</f>
        <v>29872.040606060604</v>
      </c>
      <c r="F134" s="511">
        <f t="shared" si="30"/>
        <v>40762.197003129753</v>
      </c>
      <c r="G134" s="511">
        <f t="shared" si="31"/>
        <v>55698.217306160055</v>
      </c>
      <c r="H134" s="524">
        <f t="shared" si="28"/>
        <v>35887.961942745518</v>
      </c>
      <c r="I134" s="573">
        <f t="shared" si="29"/>
        <v>35887.961942745518</v>
      </c>
      <c r="J134" s="505">
        <f t="shared" si="32"/>
        <v>0</v>
      </c>
      <c r="K134" s="505"/>
      <c r="L134" s="513"/>
      <c r="M134" s="505">
        <f t="shared" si="33"/>
        <v>0</v>
      </c>
      <c r="N134" s="513"/>
      <c r="O134" s="505">
        <f t="shared" si="34"/>
        <v>0</v>
      </c>
      <c r="P134" s="505">
        <f t="shared" si="35"/>
        <v>0</v>
      </c>
      <c r="Q134" s="244"/>
      <c r="R134" s="244"/>
      <c r="S134" s="244"/>
      <c r="T134" s="244"/>
      <c r="U134" s="244"/>
    </row>
    <row r="135" spans="2:21" ht="12.5">
      <c r="B135" s="145" t="str">
        <f t="shared" si="17"/>
        <v/>
      </c>
      <c r="C135" s="496">
        <f>IF(D94="","-",+C134+1)</f>
        <v>2045</v>
      </c>
      <c r="D135" s="350">
        <f>IF(F134+SUM(E$100:E134)=D$93,F134,D$93-SUM(E$100:E134))</f>
        <v>40762.197003129753</v>
      </c>
      <c r="E135" s="510">
        <f>IF(+J97&lt;F134,J97,D135)</f>
        <v>29872.040606060604</v>
      </c>
      <c r="F135" s="511">
        <f t="shared" si="30"/>
        <v>10890.15639706915</v>
      </c>
      <c r="G135" s="511">
        <f t="shared" si="31"/>
        <v>25826.176700099451</v>
      </c>
      <c r="H135" s="524">
        <f t="shared" si="28"/>
        <v>32661.505960061077</v>
      </c>
      <c r="I135" s="573">
        <f t="shared" si="29"/>
        <v>32661.505960061077</v>
      </c>
      <c r="J135" s="505">
        <f t="shared" si="32"/>
        <v>0</v>
      </c>
      <c r="K135" s="505"/>
      <c r="L135" s="513"/>
      <c r="M135" s="505">
        <f t="shared" si="33"/>
        <v>0</v>
      </c>
      <c r="N135" s="513"/>
      <c r="O135" s="505">
        <f t="shared" si="34"/>
        <v>0</v>
      </c>
      <c r="P135" s="505">
        <f t="shared" si="35"/>
        <v>0</v>
      </c>
      <c r="Q135" s="244"/>
      <c r="R135" s="244"/>
      <c r="S135" s="244"/>
      <c r="T135" s="244"/>
      <c r="U135" s="244"/>
    </row>
    <row r="136" spans="2:21" ht="12.5">
      <c r="B136" s="145" t="str">
        <f t="shared" si="17"/>
        <v/>
      </c>
      <c r="C136" s="496">
        <f>IF(D94="","-",+C135+1)</f>
        <v>2046</v>
      </c>
      <c r="D136" s="350">
        <f>IF(F135+SUM(E$100:E135)=D$93,F135,D$93-SUM(E$100:E135))</f>
        <v>10890.15639706915</v>
      </c>
      <c r="E136" s="510">
        <f>IF(+J97&lt;F135,J97,D136)</f>
        <v>10890.15639706915</v>
      </c>
      <c r="F136" s="511">
        <f t="shared" si="30"/>
        <v>0</v>
      </c>
      <c r="G136" s="511">
        <f t="shared" si="31"/>
        <v>5445.0781985345748</v>
      </c>
      <c r="H136" s="524">
        <f t="shared" si="28"/>
        <v>11478.275078398276</v>
      </c>
      <c r="I136" s="573">
        <f t="shared" si="29"/>
        <v>11478.275078398276</v>
      </c>
      <c r="J136" s="505">
        <f t="shared" si="32"/>
        <v>0</v>
      </c>
      <c r="K136" s="505"/>
      <c r="L136" s="513"/>
      <c r="M136" s="505">
        <f t="shared" si="33"/>
        <v>0</v>
      </c>
      <c r="N136" s="513"/>
      <c r="O136" s="505">
        <f t="shared" si="34"/>
        <v>0</v>
      </c>
      <c r="P136" s="505">
        <f t="shared" si="35"/>
        <v>0</v>
      </c>
      <c r="Q136" s="244"/>
      <c r="R136" s="244"/>
      <c r="S136" s="244"/>
      <c r="T136" s="244"/>
      <c r="U136" s="244"/>
    </row>
    <row r="137" spans="2:21" ht="12.5">
      <c r="B137" s="145" t="str">
        <f t="shared" si="17"/>
        <v/>
      </c>
      <c r="C137" s="496">
        <f>IF(D94="","-",+C136+1)</f>
        <v>2047</v>
      </c>
      <c r="D137" s="350">
        <f>IF(F136+SUM(E$100:E136)=D$93,F136,D$93-SUM(E$100:E136))</f>
        <v>0</v>
      </c>
      <c r="E137" s="510">
        <f>IF(+J97&lt;F136,J97,D137)</f>
        <v>0</v>
      </c>
      <c r="F137" s="511">
        <f t="shared" si="30"/>
        <v>0</v>
      </c>
      <c r="G137" s="511">
        <f t="shared" si="31"/>
        <v>0</v>
      </c>
      <c r="H137" s="524">
        <f t="shared" si="28"/>
        <v>0</v>
      </c>
      <c r="I137" s="573">
        <f t="shared" si="29"/>
        <v>0</v>
      </c>
      <c r="J137" s="505">
        <f t="shared" si="32"/>
        <v>0</v>
      </c>
      <c r="K137" s="505"/>
      <c r="L137" s="513"/>
      <c r="M137" s="505">
        <f t="shared" si="33"/>
        <v>0</v>
      </c>
      <c r="N137" s="513"/>
      <c r="O137" s="505">
        <f t="shared" si="34"/>
        <v>0</v>
      </c>
      <c r="P137" s="505">
        <f t="shared" si="35"/>
        <v>0</v>
      </c>
      <c r="Q137" s="244"/>
      <c r="R137" s="244"/>
      <c r="S137" s="244"/>
      <c r="T137" s="244"/>
      <c r="U137" s="244"/>
    </row>
    <row r="138" spans="2:21" ht="12.5">
      <c r="B138" s="145" t="str">
        <f t="shared" si="17"/>
        <v/>
      </c>
      <c r="C138" s="496">
        <f>IF(D94="","-",+C137+1)</f>
        <v>2048</v>
      </c>
      <c r="D138" s="350">
        <f>IF(F137+SUM(E$100:E137)=D$93,F137,D$93-SUM(E$100:E137))</f>
        <v>0</v>
      </c>
      <c r="E138" s="510">
        <f>IF(+J97&lt;F137,J97,D138)</f>
        <v>0</v>
      </c>
      <c r="F138" s="511">
        <f t="shared" si="30"/>
        <v>0</v>
      </c>
      <c r="G138" s="511">
        <f t="shared" si="31"/>
        <v>0</v>
      </c>
      <c r="H138" s="524">
        <f t="shared" si="28"/>
        <v>0</v>
      </c>
      <c r="I138" s="573">
        <f t="shared" si="29"/>
        <v>0</v>
      </c>
      <c r="J138" s="505">
        <f t="shared" si="32"/>
        <v>0</v>
      </c>
      <c r="K138" s="505"/>
      <c r="L138" s="513"/>
      <c r="M138" s="505">
        <f t="shared" si="33"/>
        <v>0</v>
      </c>
      <c r="N138" s="513"/>
      <c r="O138" s="505">
        <f t="shared" si="34"/>
        <v>0</v>
      </c>
      <c r="P138" s="505">
        <f t="shared" si="35"/>
        <v>0</v>
      </c>
      <c r="Q138" s="244"/>
      <c r="R138" s="244"/>
      <c r="S138" s="244"/>
      <c r="T138" s="244"/>
      <c r="U138" s="244"/>
    </row>
    <row r="139" spans="2:21" ht="12.5">
      <c r="B139" s="145" t="str">
        <f t="shared" si="17"/>
        <v/>
      </c>
      <c r="C139" s="496">
        <f>IF(D94="","-",+C138+1)</f>
        <v>2049</v>
      </c>
      <c r="D139" s="350">
        <f>IF(F138+SUM(E$100:E138)=D$93,F138,D$93-SUM(E$100:E138))</f>
        <v>0</v>
      </c>
      <c r="E139" s="510">
        <f>IF(+J97&lt;F138,J97,D139)</f>
        <v>0</v>
      </c>
      <c r="F139" s="511">
        <f t="shared" si="30"/>
        <v>0</v>
      </c>
      <c r="G139" s="511">
        <f t="shared" si="31"/>
        <v>0</v>
      </c>
      <c r="H139" s="524">
        <f t="shared" si="28"/>
        <v>0</v>
      </c>
      <c r="I139" s="573">
        <f t="shared" si="29"/>
        <v>0</v>
      </c>
      <c r="J139" s="505">
        <f t="shared" si="32"/>
        <v>0</v>
      </c>
      <c r="K139" s="505"/>
      <c r="L139" s="513"/>
      <c r="M139" s="505">
        <f t="shared" si="33"/>
        <v>0</v>
      </c>
      <c r="N139" s="513"/>
      <c r="O139" s="505">
        <f t="shared" si="34"/>
        <v>0</v>
      </c>
      <c r="P139" s="505">
        <f t="shared" si="35"/>
        <v>0</v>
      </c>
      <c r="Q139" s="244"/>
      <c r="R139" s="244"/>
      <c r="S139" s="244"/>
      <c r="T139" s="244"/>
      <c r="U139" s="244"/>
    </row>
    <row r="140" spans="2:21" ht="12.5">
      <c r="B140" s="145" t="str">
        <f t="shared" si="17"/>
        <v/>
      </c>
      <c r="C140" s="496">
        <f>IF(D94="","-",+C139+1)</f>
        <v>2050</v>
      </c>
      <c r="D140" s="350">
        <f>IF(F139+SUM(E$100:E139)=D$93,F139,D$93-SUM(E$100:E139))</f>
        <v>0</v>
      </c>
      <c r="E140" s="510">
        <f>IF(+J97&lt;F139,J97,D140)</f>
        <v>0</v>
      </c>
      <c r="F140" s="511">
        <f t="shared" si="30"/>
        <v>0</v>
      </c>
      <c r="G140" s="511">
        <f t="shared" si="31"/>
        <v>0</v>
      </c>
      <c r="H140" s="524">
        <f t="shared" si="28"/>
        <v>0</v>
      </c>
      <c r="I140" s="573">
        <f t="shared" si="29"/>
        <v>0</v>
      </c>
      <c r="J140" s="505">
        <f t="shared" si="32"/>
        <v>0</v>
      </c>
      <c r="K140" s="505"/>
      <c r="L140" s="513"/>
      <c r="M140" s="505">
        <f t="shared" si="33"/>
        <v>0</v>
      </c>
      <c r="N140" s="513"/>
      <c r="O140" s="505">
        <f t="shared" si="34"/>
        <v>0</v>
      </c>
      <c r="P140" s="505">
        <f t="shared" si="35"/>
        <v>0</v>
      </c>
      <c r="Q140" s="244"/>
      <c r="R140" s="244"/>
      <c r="S140" s="244"/>
      <c r="T140" s="244"/>
      <c r="U140" s="244"/>
    </row>
    <row r="141" spans="2:21" ht="12.5">
      <c r="B141" s="145" t="str">
        <f t="shared" si="17"/>
        <v/>
      </c>
      <c r="C141" s="496">
        <f>IF(D94="","-",+C140+1)</f>
        <v>2051</v>
      </c>
      <c r="D141" s="350">
        <f>IF(F140+SUM(E$100:E140)=D$93,F140,D$93-SUM(E$100:E140))</f>
        <v>0</v>
      </c>
      <c r="E141" s="510">
        <f>IF(+J97&lt;F140,J97,D141)</f>
        <v>0</v>
      </c>
      <c r="F141" s="511">
        <f t="shared" si="30"/>
        <v>0</v>
      </c>
      <c r="G141" s="511">
        <f t="shared" si="31"/>
        <v>0</v>
      </c>
      <c r="H141" s="524">
        <f t="shared" si="28"/>
        <v>0</v>
      </c>
      <c r="I141" s="573">
        <f t="shared" si="29"/>
        <v>0</v>
      </c>
      <c r="J141" s="505">
        <f t="shared" si="32"/>
        <v>0</v>
      </c>
      <c r="K141" s="505"/>
      <c r="L141" s="513"/>
      <c r="M141" s="505">
        <f t="shared" si="33"/>
        <v>0</v>
      </c>
      <c r="N141" s="513"/>
      <c r="O141" s="505">
        <f t="shared" si="34"/>
        <v>0</v>
      </c>
      <c r="P141" s="505">
        <f t="shared" si="35"/>
        <v>0</v>
      </c>
      <c r="Q141" s="244"/>
      <c r="R141" s="244"/>
      <c r="S141" s="244"/>
      <c r="T141" s="244"/>
      <c r="U141" s="244"/>
    </row>
    <row r="142" spans="2:21" ht="12.5">
      <c r="B142" s="145" t="str">
        <f t="shared" si="17"/>
        <v/>
      </c>
      <c r="C142" s="496">
        <f>IF(D94="","-",+C141+1)</f>
        <v>2052</v>
      </c>
      <c r="D142" s="350">
        <f>IF(F141+SUM(E$100:E141)=D$93,F141,D$93-SUM(E$100:E141))</f>
        <v>0</v>
      </c>
      <c r="E142" s="510">
        <f>IF(+J97&lt;F141,J97,D142)</f>
        <v>0</v>
      </c>
      <c r="F142" s="511">
        <f t="shared" si="30"/>
        <v>0</v>
      </c>
      <c r="G142" s="511">
        <f t="shared" si="31"/>
        <v>0</v>
      </c>
      <c r="H142" s="524">
        <f t="shared" si="28"/>
        <v>0</v>
      </c>
      <c r="I142" s="573">
        <f t="shared" si="29"/>
        <v>0</v>
      </c>
      <c r="J142" s="505">
        <f t="shared" si="32"/>
        <v>0</v>
      </c>
      <c r="K142" s="505"/>
      <c r="L142" s="513"/>
      <c r="M142" s="505">
        <f t="shared" si="33"/>
        <v>0</v>
      </c>
      <c r="N142" s="513"/>
      <c r="O142" s="505">
        <f t="shared" si="34"/>
        <v>0</v>
      </c>
      <c r="P142" s="505">
        <f t="shared" si="35"/>
        <v>0</v>
      </c>
      <c r="Q142" s="244"/>
      <c r="R142" s="244"/>
      <c r="S142" s="244"/>
      <c r="T142" s="244"/>
      <c r="U142" s="244"/>
    </row>
    <row r="143" spans="2:21" ht="12.5">
      <c r="B143" s="145" t="str">
        <f t="shared" si="17"/>
        <v/>
      </c>
      <c r="C143" s="496">
        <f>IF(D94="","-",+C142+1)</f>
        <v>2053</v>
      </c>
      <c r="D143" s="350">
        <f>IF(F142+SUM(E$100:E142)=D$93,F142,D$93-SUM(E$100:E142))</f>
        <v>0</v>
      </c>
      <c r="E143" s="510">
        <f>IF(+J97&lt;F142,J97,D143)</f>
        <v>0</v>
      </c>
      <c r="F143" s="511">
        <f t="shared" si="30"/>
        <v>0</v>
      </c>
      <c r="G143" s="511">
        <f t="shared" si="31"/>
        <v>0</v>
      </c>
      <c r="H143" s="524">
        <f t="shared" si="28"/>
        <v>0</v>
      </c>
      <c r="I143" s="573">
        <f t="shared" si="29"/>
        <v>0</v>
      </c>
      <c r="J143" s="505">
        <f t="shared" si="32"/>
        <v>0</v>
      </c>
      <c r="K143" s="505"/>
      <c r="L143" s="513"/>
      <c r="M143" s="505">
        <f t="shared" si="33"/>
        <v>0</v>
      </c>
      <c r="N143" s="513"/>
      <c r="O143" s="505">
        <f t="shared" si="34"/>
        <v>0</v>
      </c>
      <c r="P143" s="505">
        <f t="shared" si="35"/>
        <v>0</v>
      </c>
      <c r="Q143" s="244"/>
      <c r="R143" s="244"/>
      <c r="S143" s="244"/>
      <c r="T143" s="244"/>
      <c r="U143" s="244"/>
    </row>
    <row r="144" spans="2:21" ht="12.5">
      <c r="B144" s="145" t="str">
        <f t="shared" si="17"/>
        <v/>
      </c>
      <c r="C144" s="496">
        <f>IF(D94="","-",+C143+1)</f>
        <v>2054</v>
      </c>
      <c r="D144" s="350">
        <f>IF(F143+SUM(E$100:E143)=D$93,F143,D$93-SUM(E$100:E143))</f>
        <v>0</v>
      </c>
      <c r="E144" s="510">
        <f>IF(+J97&lt;F143,J97,D144)</f>
        <v>0</v>
      </c>
      <c r="F144" s="511">
        <f t="shared" si="30"/>
        <v>0</v>
      </c>
      <c r="G144" s="511">
        <f t="shared" si="31"/>
        <v>0</v>
      </c>
      <c r="H144" s="524">
        <f t="shared" si="28"/>
        <v>0</v>
      </c>
      <c r="I144" s="573">
        <f t="shared" si="29"/>
        <v>0</v>
      </c>
      <c r="J144" s="505">
        <f t="shared" si="32"/>
        <v>0</v>
      </c>
      <c r="K144" s="505"/>
      <c r="L144" s="513"/>
      <c r="M144" s="505">
        <f t="shared" si="33"/>
        <v>0</v>
      </c>
      <c r="N144" s="513"/>
      <c r="O144" s="505">
        <f t="shared" si="34"/>
        <v>0</v>
      </c>
      <c r="P144" s="505">
        <f t="shared" si="35"/>
        <v>0</v>
      </c>
      <c r="Q144" s="244"/>
      <c r="R144" s="244"/>
      <c r="S144" s="244"/>
      <c r="T144" s="244"/>
      <c r="U144" s="244"/>
    </row>
    <row r="145" spans="2:21" ht="12.5">
      <c r="B145" s="145" t="str">
        <f t="shared" si="17"/>
        <v/>
      </c>
      <c r="C145" s="496">
        <f>IF(D94="","-",+C144+1)</f>
        <v>2055</v>
      </c>
      <c r="D145" s="350">
        <f>IF(F144+SUM(E$100:E144)=D$93,F144,D$93-SUM(E$100:E144))</f>
        <v>0</v>
      </c>
      <c r="E145" s="510">
        <f>IF(+J97&lt;F144,J97,D145)</f>
        <v>0</v>
      </c>
      <c r="F145" s="511">
        <f t="shared" si="30"/>
        <v>0</v>
      </c>
      <c r="G145" s="511">
        <f t="shared" si="31"/>
        <v>0</v>
      </c>
      <c r="H145" s="524">
        <f t="shared" si="28"/>
        <v>0</v>
      </c>
      <c r="I145" s="573">
        <f t="shared" si="29"/>
        <v>0</v>
      </c>
      <c r="J145" s="505">
        <f t="shared" si="32"/>
        <v>0</v>
      </c>
      <c r="K145" s="505"/>
      <c r="L145" s="513"/>
      <c r="M145" s="505">
        <f t="shared" si="33"/>
        <v>0</v>
      </c>
      <c r="N145" s="513"/>
      <c r="O145" s="505">
        <f t="shared" si="34"/>
        <v>0</v>
      </c>
      <c r="P145" s="505">
        <f t="shared" si="35"/>
        <v>0</v>
      </c>
      <c r="Q145" s="244"/>
      <c r="R145" s="244"/>
      <c r="S145" s="244"/>
      <c r="T145" s="244"/>
      <c r="U145" s="244"/>
    </row>
    <row r="146" spans="2:21" ht="12.5">
      <c r="B146" s="145" t="str">
        <f t="shared" si="17"/>
        <v/>
      </c>
      <c r="C146" s="496">
        <f>IF(D94="","-",+C145+1)</f>
        <v>2056</v>
      </c>
      <c r="D146" s="350">
        <f>IF(F145+SUM(E$100:E145)=D$93,F145,D$93-SUM(E$100:E145))</f>
        <v>0</v>
      </c>
      <c r="E146" s="510">
        <f>IF(+J97&lt;F145,J97,D146)</f>
        <v>0</v>
      </c>
      <c r="F146" s="511">
        <f t="shared" si="30"/>
        <v>0</v>
      </c>
      <c r="G146" s="511">
        <f t="shared" si="31"/>
        <v>0</v>
      </c>
      <c r="H146" s="524">
        <f t="shared" si="28"/>
        <v>0</v>
      </c>
      <c r="I146" s="573">
        <f t="shared" si="29"/>
        <v>0</v>
      </c>
      <c r="J146" s="505">
        <f t="shared" si="32"/>
        <v>0</v>
      </c>
      <c r="K146" s="505"/>
      <c r="L146" s="513"/>
      <c r="M146" s="505">
        <f t="shared" si="33"/>
        <v>0</v>
      </c>
      <c r="N146" s="513"/>
      <c r="O146" s="505">
        <f t="shared" si="34"/>
        <v>0</v>
      </c>
      <c r="P146" s="505">
        <f t="shared" si="35"/>
        <v>0</v>
      </c>
      <c r="Q146" s="244"/>
      <c r="R146" s="244"/>
      <c r="S146" s="244"/>
      <c r="T146" s="244"/>
      <c r="U146" s="244"/>
    </row>
    <row r="147" spans="2:21" ht="12.5">
      <c r="B147" s="145" t="str">
        <f t="shared" si="17"/>
        <v/>
      </c>
      <c r="C147" s="496">
        <f>IF(D94="","-",+C146+1)</f>
        <v>2057</v>
      </c>
      <c r="D147" s="350">
        <f>IF(F146+SUM(E$100:E146)=D$93,F146,D$93-SUM(E$100:E146))</f>
        <v>0</v>
      </c>
      <c r="E147" s="510">
        <f>IF(+J97&lt;F146,J97,D147)</f>
        <v>0</v>
      </c>
      <c r="F147" s="511">
        <f t="shared" si="30"/>
        <v>0</v>
      </c>
      <c r="G147" s="511">
        <f t="shared" si="31"/>
        <v>0</v>
      </c>
      <c r="H147" s="524">
        <f t="shared" si="28"/>
        <v>0</v>
      </c>
      <c r="I147" s="573">
        <f t="shared" si="29"/>
        <v>0</v>
      </c>
      <c r="J147" s="505">
        <f t="shared" si="32"/>
        <v>0</v>
      </c>
      <c r="K147" s="505"/>
      <c r="L147" s="513"/>
      <c r="M147" s="505">
        <f t="shared" si="33"/>
        <v>0</v>
      </c>
      <c r="N147" s="513"/>
      <c r="O147" s="505">
        <f t="shared" si="34"/>
        <v>0</v>
      </c>
      <c r="P147" s="505">
        <f t="shared" si="35"/>
        <v>0</v>
      </c>
      <c r="Q147" s="244"/>
      <c r="R147" s="244"/>
      <c r="S147" s="244"/>
      <c r="T147" s="244"/>
      <c r="U147" s="244"/>
    </row>
    <row r="148" spans="2:21" ht="12.5">
      <c r="B148" s="145" t="str">
        <f t="shared" si="17"/>
        <v/>
      </c>
      <c r="C148" s="496">
        <f>IF(D94="","-",+C147+1)</f>
        <v>2058</v>
      </c>
      <c r="D148" s="350">
        <f>IF(F147+SUM(E$100:E147)=D$93,F147,D$93-SUM(E$100:E147))</f>
        <v>0</v>
      </c>
      <c r="E148" s="510">
        <f>IF(+J97&lt;F147,J97,D148)</f>
        <v>0</v>
      </c>
      <c r="F148" s="511">
        <f t="shared" si="30"/>
        <v>0</v>
      </c>
      <c r="G148" s="511">
        <f t="shared" si="31"/>
        <v>0</v>
      </c>
      <c r="H148" s="524">
        <f t="shared" si="28"/>
        <v>0</v>
      </c>
      <c r="I148" s="573">
        <f t="shared" si="29"/>
        <v>0</v>
      </c>
      <c r="J148" s="505">
        <f t="shared" si="32"/>
        <v>0</v>
      </c>
      <c r="K148" s="505"/>
      <c r="L148" s="513"/>
      <c r="M148" s="505">
        <f t="shared" si="33"/>
        <v>0</v>
      </c>
      <c r="N148" s="513"/>
      <c r="O148" s="505">
        <f t="shared" si="34"/>
        <v>0</v>
      </c>
      <c r="P148" s="505">
        <f t="shared" si="35"/>
        <v>0</v>
      </c>
      <c r="Q148" s="244"/>
      <c r="R148" s="244"/>
      <c r="S148" s="244"/>
      <c r="T148" s="244"/>
      <c r="U148" s="244"/>
    </row>
    <row r="149" spans="2:21" ht="12.5">
      <c r="B149" s="145" t="str">
        <f t="shared" si="17"/>
        <v/>
      </c>
      <c r="C149" s="496">
        <f>IF(D94="","-",+C148+1)</f>
        <v>2059</v>
      </c>
      <c r="D149" s="350">
        <f>IF(F148+SUM(E$100:E148)=D$93,F148,D$93-SUM(E$100:E148))</f>
        <v>0</v>
      </c>
      <c r="E149" s="510">
        <f>IF(+J97&lt;F148,J97,D149)</f>
        <v>0</v>
      </c>
      <c r="F149" s="511">
        <f t="shared" si="30"/>
        <v>0</v>
      </c>
      <c r="G149" s="511">
        <f t="shared" si="31"/>
        <v>0</v>
      </c>
      <c r="H149" s="524">
        <f t="shared" si="28"/>
        <v>0</v>
      </c>
      <c r="I149" s="573">
        <f t="shared" si="29"/>
        <v>0</v>
      </c>
      <c r="J149" s="505">
        <f t="shared" si="32"/>
        <v>0</v>
      </c>
      <c r="K149" s="505"/>
      <c r="L149" s="513"/>
      <c r="M149" s="505">
        <f t="shared" si="33"/>
        <v>0</v>
      </c>
      <c r="N149" s="513"/>
      <c r="O149" s="505">
        <f t="shared" si="34"/>
        <v>0</v>
      </c>
      <c r="P149" s="505">
        <f t="shared" si="35"/>
        <v>0</v>
      </c>
      <c r="Q149" s="244"/>
      <c r="R149" s="244"/>
      <c r="S149" s="244"/>
      <c r="T149" s="244"/>
      <c r="U149" s="244"/>
    </row>
    <row r="150" spans="2:21" ht="12.5">
      <c r="B150" s="145" t="str">
        <f t="shared" si="17"/>
        <v/>
      </c>
      <c r="C150" s="496">
        <f>IF(D94="","-",+C149+1)</f>
        <v>2060</v>
      </c>
      <c r="D150" s="350">
        <f>IF(F149+SUM(E$100:E149)=D$93,F149,D$93-SUM(E$100:E149))</f>
        <v>0</v>
      </c>
      <c r="E150" s="510">
        <f>IF(+J97&lt;F149,J97,D150)</f>
        <v>0</v>
      </c>
      <c r="F150" s="511">
        <f t="shared" si="30"/>
        <v>0</v>
      </c>
      <c r="G150" s="511">
        <f t="shared" si="31"/>
        <v>0</v>
      </c>
      <c r="H150" s="524">
        <f t="shared" si="28"/>
        <v>0</v>
      </c>
      <c r="I150" s="573">
        <f t="shared" si="29"/>
        <v>0</v>
      </c>
      <c r="J150" s="505">
        <f t="shared" si="32"/>
        <v>0</v>
      </c>
      <c r="K150" s="505"/>
      <c r="L150" s="513"/>
      <c r="M150" s="505">
        <f t="shared" si="33"/>
        <v>0</v>
      </c>
      <c r="N150" s="513"/>
      <c r="O150" s="505">
        <f t="shared" si="34"/>
        <v>0</v>
      </c>
      <c r="P150" s="505">
        <f t="shared" si="35"/>
        <v>0</v>
      </c>
      <c r="Q150" s="244"/>
      <c r="R150" s="244"/>
      <c r="S150" s="244"/>
      <c r="T150" s="244"/>
      <c r="U150" s="244"/>
    </row>
    <row r="151" spans="2:21" ht="12.5">
      <c r="B151" s="145" t="str">
        <f t="shared" si="17"/>
        <v/>
      </c>
      <c r="C151" s="496">
        <f>IF(D94="","-",+C150+1)</f>
        <v>2061</v>
      </c>
      <c r="D151" s="350">
        <f>IF(F150+SUM(E$100:E150)=D$93,F150,D$93-SUM(E$100:E150))</f>
        <v>0</v>
      </c>
      <c r="E151" s="510">
        <f>IF(+J97&lt;F150,J97,D151)</f>
        <v>0</v>
      </c>
      <c r="F151" s="511">
        <f t="shared" si="30"/>
        <v>0</v>
      </c>
      <c r="G151" s="511">
        <f t="shared" si="31"/>
        <v>0</v>
      </c>
      <c r="H151" s="524">
        <f t="shared" si="28"/>
        <v>0</v>
      </c>
      <c r="I151" s="573">
        <f t="shared" si="29"/>
        <v>0</v>
      </c>
      <c r="J151" s="505">
        <f t="shared" si="32"/>
        <v>0</v>
      </c>
      <c r="K151" s="505"/>
      <c r="L151" s="513"/>
      <c r="M151" s="505">
        <f t="shared" si="33"/>
        <v>0</v>
      </c>
      <c r="N151" s="513"/>
      <c r="O151" s="505">
        <f t="shared" si="34"/>
        <v>0</v>
      </c>
      <c r="P151" s="505">
        <f t="shared" si="35"/>
        <v>0</v>
      </c>
      <c r="Q151" s="244"/>
      <c r="R151" s="244"/>
      <c r="S151" s="244"/>
      <c r="T151" s="244"/>
      <c r="U151" s="244"/>
    </row>
    <row r="152" spans="2:21" ht="12.5">
      <c r="B152" s="145" t="str">
        <f t="shared" si="17"/>
        <v/>
      </c>
      <c r="C152" s="496">
        <f>IF(D94="","-",+C151+1)</f>
        <v>2062</v>
      </c>
      <c r="D152" s="350">
        <f>IF(F151+SUM(E$100:E151)=D$93,F151,D$93-SUM(E$100:E151))</f>
        <v>0</v>
      </c>
      <c r="E152" s="510">
        <f>IF(+J97&lt;F151,J97,D152)</f>
        <v>0</v>
      </c>
      <c r="F152" s="511">
        <f t="shared" si="30"/>
        <v>0</v>
      </c>
      <c r="G152" s="511">
        <f t="shared" si="31"/>
        <v>0</v>
      </c>
      <c r="H152" s="524">
        <f t="shared" si="28"/>
        <v>0</v>
      </c>
      <c r="I152" s="573">
        <f t="shared" si="29"/>
        <v>0</v>
      </c>
      <c r="J152" s="505">
        <f t="shared" si="32"/>
        <v>0</v>
      </c>
      <c r="K152" s="505"/>
      <c r="L152" s="513"/>
      <c r="M152" s="505">
        <f t="shared" si="33"/>
        <v>0</v>
      </c>
      <c r="N152" s="513"/>
      <c r="O152" s="505">
        <f t="shared" si="34"/>
        <v>0</v>
      </c>
      <c r="P152" s="505">
        <f t="shared" si="35"/>
        <v>0</v>
      </c>
      <c r="Q152" s="244"/>
      <c r="R152" s="244"/>
      <c r="S152" s="244"/>
      <c r="T152" s="244"/>
      <c r="U152" s="244"/>
    </row>
    <row r="153" spans="2:21" ht="12.5">
      <c r="B153" s="145" t="str">
        <f t="shared" si="17"/>
        <v/>
      </c>
      <c r="C153" s="496">
        <f>IF(D94="","-",+C152+1)</f>
        <v>2063</v>
      </c>
      <c r="D153" s="350">
        <f>IF(F152+SUM(E$100:E152)=D$93,F152,D$93-SUM(E$100:E152))</f>
        <v>0</v>
      </c>
      <c r="E153" s="510">
        <f>IF(+J97&lt;F152,J97,D153)</f>
        <v>0</v>
      </c>
      <c r="F153" s="511">
        <f t="shared" si="30"/>
        <v>0</v>
      </c>
      <c r="G153" s="511">
        <f t="shared" si="31"/>
        <v>0</v>
      </c>
      <c r="H153" s="524">
        <f t="shared" si="28"/>
        <v>0</v>
      </c>
      <c r="I153" s="573">
        <f t="shared" si="29"/>
        <v>0</v>
      </c>
      <c r="J153" s="505">
        <f t="shared" si="32"/>
        <v>0</v>
      </c>
      <c r="K153" s="505"/>
      <c r="L153" s="513"/>
      <c r="M153" s="505">
        <f t="shared" si="33"/>
        <v>0</v>
      </c>
      <c r="N153" s="513"/>
      <c r="O153" s="505">
        <f t="shared" si="34"/>
        <v>0</v>
      </c>
      <c r="P153" s="505">
        <f t="shared" si="35"/>
        <v>0</v>
      </c>
      <c r="Q153" s="244"/>
      <c r="R153" s="244"/>
      <c r="S153" s="244"/>
      <c r="T153" s="244"/>
      <c r="U153" s="244"/>
    </row>
    <row r="154" spans="2:21" ht="12.5">
      <c r="B154" s="145" t="str">
        <f t="shared" si="17"/>
        <v/>
      </c>
      <c r="C154" s="496">
        <f>IF(D94="","-",+C153+1)</f>
        <v>2064</v>
      </c>
      <c r="D154" s="350">
        <f>IF(F153+SUM(E$100:E153)=D$93,F153,D$93-SUM(E$100:E153))</f>
        <v>0</v>
      </c>
      <c r="E154" s="510">
        <f>IF(+J97&lt;F153,J97,D154)</f>
        <v>0</v>
      </c>
      <c r="F154" s="511">
        <f t="shared" si="30"/>
        <v>0</v>
      </c>
      <c r="G154" s="511">
        <f t="shared" si="31"/>
        <v>0</v>
      </c>
      <c r="H154" s="524">
        <f t="shared" si="28"/>
        <v>0</v>
      </c>
      <c r="I154" s="573">
        <f t="shared" si="29"/>
        <v>0</v>
      </c>
      <c r="J154" s="505">
        <f t="shared" si="32"/>
        <v>0</v>
      </c>
      <c r="K154" s="505"/>
      <c r="L154" s="513"/>
      <c r="M154" s="505">
        <f t="shared" si="33"/>
        <v>0</v>
      </c>
      <c r="N154" s="513"/>
      <c r="O154" s="505">
        <f t="shared" si="34"/>
        <v>0</v>
      </c>
      <c r="P154" s="505">
        <f t="shared" si="35"/>
        <v>0</v>
      </c>
      <c r="Q154" s="244"/>
      <c r="R154" s="244"/>
      <c r="S154" s="244"/>
      <c r="T154" s="244"/>
      <c r="U154" s="244"/>
    </row>
    <row r="155" spans="2:21" ht="13" thickBot="1">
      <c r="B155" s="145" t="str">
        <f t="shared" si="17"/>
        <v/>
      </c>
      <c r="C155" s="525">
        <f>IF(D94="","-",+C154+1)</f>
        <v>2065</v>
      </c>
      <c r="D155" s="528">
        <f>IF(F154+SUM(E$100:E154)=D$93,F154,D$93-SUM(E$100:E154))</f>
        <v>0</v>
      </c>
      <c r="E155" s="527">
        <f>IF(+J97&lt;F154,J97,D155)</f>
        <v>0</v>
      </c>
      <c r="F155" s="528">
        <f t="shared" si="30"/>
        <v>0</v>
      </c>
      <c r="G155" s="528">
        <f t="shared" si="31"/>
        <v>0</v>
      </c>
      <c r="H155" s="529">
        <f t="shared" si="28"/>
        <v>0</v>
      </c>
      <c r="I155" s="574">
        <f t="shared" si="29"/>
        <v>0</v>
      </c>
      <c r="J155" s="532">
        <f t="shared" si="32"/>
        <v>0</v>
      </c>
      <c r="K155" s="505"/>
      <c r="L155" s="531"/>
      <c r="M155" s="532">
        <f t="shared" si="33"/>
        <v>0</v>
      </c>
      <c r="N155" s="531"/>
      <c r="O155" s="532">
        <f t="shared" si="34"/>
        <v>0</v>
      </c>
      <c r="P155" s="532">
        <f t="shared" si="35"/>
        <v>0</v>
      </c>
      <c r="Q155" s="244"/>
      <c r="R155" s="244"/>
      <c r="S155" s="244"/>
      <c r="T155" s="244"/>
      <c r="U155" s="244"/>
    </row>
    <row r="156" spans="2:21" ht="12.5">
      <c r="C156" s="350" t="s">
        <v>75</v>
      </c>
      <c r="D156" s="295"/>
      <c r="E156" s="295">
        <f>SUM(E100:E155)</f>
        <v>985777.34000000043</v>
      </c>
      <c r="F156" s="295"/>
      <c r="G156" s="295"/>
      <c r="H156" s="295">
        <f>SUM(H100:H155)</f>
        <v>3116455.1387304035</v>
      </c>
      <c r="I156" s="295">
        <f>SUM(I100:I155)</f>
        <v>3116455.1387304035</v>
      </c>
      <c r="J156" s="295">
        <f>SUM(J100:J155)</f>
        <v>0</v>
      </c>
      <c r="K156" s="295"/>
      <c r="L156" s="295"/>
      <c r="M156" s="295"/>
      <c r="N156" s="295"/>
      <c r="O156" s="295"/>
      <c r="P156" s="244"/>
      <c r="Q156" s="244"/>
      <c r="R156" s="244"/>
      <c r="S156" s="244"/>
      <c r="T156" s="244"/>
      <c r="U156" s="244"/>
    </row>
    <row r="157" spans="2:21" ht="12.5">
      <c r="D157" s="293"/>
      <c r="E157" s="244"/>
      <c r="F157" s="244"/>
      <c r="G157" s="244"/>
      <c r="H157" s="244"/>
      <c r="I157" s="326"/>
      <c r="J157" s="326"/>
      <c r="K157" s="295"/>
      <c r="L157" s="326"/>
      <c r="M157" s="326"/>
      <c r="N157" s="326"/>
      <c r="O157" s="326"/>
      <c r="P157" s="244"/>
      <c r="Q157" s="244"/>
      <c r="R157" s="244"/>
      <c r="S157" s="244"/>
      <c r="T157" s="244"/>
      <c r="U157" s="244"/>
    </row>
    <row r="158" spans="2:21" ht="12.5">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ht="12.5">
      <c r="D159" s="293"/>
      <c r="E159" s="244"/>
      <c r="F159" s="244"/>
      <c r="G159" s="244"/>
      <c r="H159" s="244"/>
      <c r="I159" s="326"/>
      <c r="J159" s="326"/>
      <c r="K159" s="295"/>
      <c r="L159" s="326"/>
      <c r="M159" s="326"/>
      <c r="N159" s="326"/>
      <c r="O159" s="326"/>
      <c r="P159" s="244"/>
      <c r="Q159" s="244"/>
      <c r="R159" s="244"/>
      <c r="S159" s="244"/>
      <c r="T159" s="244"/>
      <c r="U159" s="244"/>
    </row>
    <row r="160" spans="2:21" ht="13">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ht="13">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phoneticPr fontId="0" type="noConversion"/>
  <conditionalFormatting sqref="C17:C73">
    <cfRule type="cellIs" dxfId="45" priority="1" stopIfTrue="1" operator="equal">
      <formula>$I$10</formula>
    </cfRule>
  </conditionalFormatting>
  <conditionalFormatting sqref="C100:C155">
    <cfRule type="cellIs" dxfId="44"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U163"/>
  <sheetViews>
    <sheetView view="pageBreakPreview" topLeftCell="B1" zoomScale="85" zoomScaleNormal="100" workbookViewId="0">
      <selection activeCell="D10" sqref="D10"/>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8.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"&amp;RIGHT(MID(CELL("filename",$A$1),FIND("]",CELL("filename",$A$1))+1,256),1)&amp;" of "&amp;COUNT('OKT.001:OKT.xyz - blank'!$P$3)-1</f>
        <v>OKT Project 3 of 19</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72464.827452468948</v>
      </c>
      <c r="P5" s="244"/>
      <c r="R5" s="244"/>
      <c r="S5" s="244"/>
      <c r="T5" s="244"/>
      <c r="U5" s="244"/>
    </row>
    <row r="6" spans="1:21" ht="15.5">
      <c r="C6" s="236"/>
      <c r="D6" s="293"/>
      <c r="E6" s="244"/>
      <c r="F6" s="244"/>
      <c r="G6" s="244"/>
      <c r="H6" s="450"/>
      <c r="I6" s="450"/>
      <c r="J6" s="451"/>
      <c r="K6" s="452" t="s">
        <v>243</v>
      </c>
      <c r="L6" s="453"/>
      <c r="M6" s="279"/>
      <c r="N6" s="454">
        <f>VLOOKUP(I10,C17:I73,6)</f>
        <v>72464.827452468948</v>
      </c>
      <c r="O6" s="244"/>
      <c r="P6" s="244"/>
      <c r="R6" s="244"/>
      <c r="S6" s="244"/>
      <c r="T6" s="244"/>
      <c r="U6" s="244"/>
    </row>
    <row r="7" spans="1:21" ht="13.5" thickBot="1">
      <c r="C7" s="455" t="s">
        <v>46</v>
      </c>
      <c r="D7" s="456" t="s">
        <v>199</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A9" s="152"/>
      <c r="C9" s="464" t="s">
        <v>48</v>
      </c>
      <c r="D9" s="465" t="s">
        <v>198</v>
      </c>
      <c r="E9" s="466"/>
      <c r="F9" s="466"/>
      <c r="G9" s="466"/>
      <c r="H9" s="466"/>
      <c r="I9" s="467"/>
      <c r="J9" s="468"/>
      <c r="O9" s="469"/>
      <c r="P9" s="279"/>
      <c r="R9" s="244"/>
      <c r="S9" s="244"/>
      <c r="T9" s="244"/>
      <c r="U9" s="244"/>
    </row>
    <row r="10" spans="1:21" ht="13">
      <c r="C10" s="470" t="s">
        <v>49</v>
      </c>
      <c r="D10" s="471">
        <v>614753</v>
      </c>
      <c r="E10" s="300" t="s">
        <v>50</v>
      </c>
      <c r="F10" s="469"/>
      <c r="G10" s="409"/>
      <c r="H10" s="409"/>
      <c r="I10" s="472">
        <f>+OKT.WS.F.BPU.ATRR.Projected!R100</f>
        <v>2019</v>
      </c>
      <c r="J10" s="468"/>
      <c r="K10" s="295" t="s">
        <v>51</v>
      </c>
      <c r="O10" s="279"/>
      <c r="P10" s="279"/>
      <c r="R10" s="244"/>
      <c r="S10" s="244"/>
      <c r="T10" s="244"/>
      <c r="U10" s="244"/>
    </row>
    <row r="11" spans="1:21" ht="12.5">
      <c r="C11" s="473" t="s">
        <v>52</v>
      </c>
      <c r="D11" s="474">
        <v>2011</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10</v>
      </c>
      <c r="E12" s="473" t="s">
        <v>55</v>
      </c>
      <c r="F12" s="409"/>
      <c r="G12" s="221"/>
      <c r="H12" s="221"/>
      <c r="I12" s="477">
        <f>OKT.WS.F.BPU.ATRR.Projected!$F$78</f>
        <v>0.11749102697326873</v>
      </c>
      <c r="J12" s="579"/>
      <c r="K12" s="145" t="s">
        <v>56</v>
      </c>
      <c r="O12" s="279"/>
      <c r="P12" s="279"/>
      <c r="R12" s="244"/>
      <c r="S12" s="244"/>
      <c r="T12" s="244"/>
      <c r="U12" s="244"/>
    </row>
    <row r="13" spans="1:21" ht="12.5">
      <c r="C13" s="473" t="s">
        <v>57</v>
      </c>
      <c r="D13" s="475">
        <f>OKT.WS.F.BPU.ATRR.Projected!F89</f>
        <v>41</v>
      </c>
      <c r="E13" s="473" t="s">
        <v>58</v>
      </c>
      <c r="F13" s="409"/>
      <c r="G13" s="221"/>
      <c r="H13" s="221"/>
      <c r="I13" s="477">
        <f>IF(G5="",I12,OKT.WS.F.BPU.ATRR.Projected!$F$77)</f>
        <v>0.11749102697326873</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14993.975609756097</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49" si="0">IF(D17=F16,"","IU")</f>
        <v>IU</v>
      </c>
      <c r="C17" s="581">
        <f>IF(D11= "","-",D11)</f>
        <v>2011</v>
      </c>
      <c r="D17" s="497">
        <v>956000</v>
      </c>
      <c r="E17" s="498">
        <v>1378.1704053213118</v>
      </c>
      <c r="F17" s="497">
        <v>954621.82959467871</v>
      </c>
      <c r="G17" s="499">
        <v>125484.70184654166</v>
      </c>
      <c r="H17" s="500">
        <v>125484.70184654166</v>
      </c>
      <c r="I17" s="585">
        <f>H17-G17</f>
        <v>0</v>
      </c>
      <c r="J17" s="351"/>
      <c r="K17" s="507">
        <f t="shared" ref="K17:K22" si="1">G17</f>
        <v>125484.70184654166</v>
      </c>
      <c r="L17" s="586">
        <f t="shared" ref="L17:L49" si="2">IF(K17&lt;&gt;0,+G17-K17,0)</f>
        <v>0</v>
      </c>
      <c r="M17" s="507">
        <f t="shared" ref="M17:M22" si="3">H17</f>
        <v>125484.70184654166</v>
      </c>
      <c r="N17" s="587">
        <f t="shared" ref="N17:N49" si="4">IF(M17&lt;&gt;0,+H17-M17,0)</f>
        <v>0</v>
      </c>
      <c r="O17" s="505">
        <f t="shared" ref="O17:O49" si="5">+N17-L17</f>
        <v>0</v>
      </c>
      <c r="P17" s="279"/>
      <c r="R17" s="244"/>
      <c r="S17" s="244"/>
      <c r="T17" s="244"/>
      <c r="U17" s="244"/>
    </row>
    <row r="18" spans="2:21" ht="12.5">
      <c r="B18" s="145" t="str">
        <f t="shared" si="0"/>
        <v/>
      </c>
      <c r="C18" s="496">
        <f>IF(D11="","-",+C17+1)</f>
        <v>2012</v>
      </c>
      <c r="D18" s="506">
        <v>954621.82959467871</v>
      </c>
      <c r="E18" s="499">
        <v>10633.668760887396</v>
      </c>
      <c r="F18" s="506">
        <v>943988.16083379136</v>
      </c>
      <c r="G18" s="499">
        <v>101867.32341201812</v>
      </c>
      <c r="H18" s="500">
        <v>101867.32341201812</v>
      </c>
      <c r="I18" s="501">
        <v>0</v>
      </c>
      <c r="J18" s="351"/>
      <c r="K18" s="507">
        <f t="shared" si="1"/>
        <v>101867.32341201812</v>
      </c>
      <c r="L18" s="351">
        <f t="shared" si="2"/>
        <v>0</v>
      </c>
      <c r="M18" s="507">
        <f t="shared" si="3"/>
        <v>101867.32341201812</v>
      </c>
      <c r="N18" s="501">
        <f t="shared" si="4"/>
        <v>0</v>
      </c>
      <c r="O18" s="505">
        <f t="shared" si="5"/>
        <v>0</v>
      </c>
      <c r="P18" s="279"/>
      <c r="R18" s="244"/>
      <c r="S18" s="244"/>
      <c r="T18" s="244"/>
      <c r="U18" s="244"/>
    </row>
    <row r="19" spans="2:21" ht="12.5">
      <c r="B19" s="145" t="str">
        <f t="shared" si="0"/>
        <v>IU</v>
      </c>
      <c r="C19" s="496">
        <f>IF(D11="","-",+C18+1)</f>
        <v>2013</v>
      </c>
      <c r="D19" s="506">
        <v>602741.16083379125</v>
      </c>
      <c r="E19" s="499">
        <v>10634.741311914131</v>
      </c>
      <c r="F19" s="506">
        <v>592106.41952187708</v>
      </c>
      <c r="G19" s="499">
        <v>75317.164005617815</v>
      </c>
      <c r="H19" s="500">
        <v>75317.164005617815</v>
      </c>
      <c r="I19" s="501">
        <v>0</v>
      </c>
      <c r="J19" s="351"/>
      <c r="K19" s="507">
        <f t="shared" si="1"/>
        <v>75317.164005617815</v>
      </c>
      <c r="L19" s="351">
        <f t="shared" ref="L19:L24" si="6">IF(K19&lt;&gt;0,+G19-K19,0)</f>
        <v>0</v>
      </c>
      <c r="M19" s="507">
        <f t="shared" si="3"/>
        <v>75317.164005617815</v>
      </c>
      <c r="N19" s="501">
        <f>IF(M19&lt;&gt;0,+H19-M19,0)</f>
        <v>0</v>
      </c>
      <c r="O19" s="505">
        <f>+N19-L19</f>
        <v>0</v>
      </c>
      <c r="P19" s="279"/>
      <c r="R19" s="244"/>
      <c r="S19" s="244"/>
      <c r="T19" s="244"/>
      <c r="U19" s="244"/>
    </row>
    <row r="20" spans="2:21" ht="12.5">
      <c r="B20" s="145" t="str">
        <f t="shared" si="0"/>
        <v/>
      </c>
      <c r="C20" s="496">
        <f>IF(D11="","-",+C19+1)</f>
        <v>2014</v>
      </c>
      <c r="D20" s="506">
        <v>592106.41952187708</v>
      </c>
      <c r="E20" s="499">
        <v>10634.741311914131</v>
      </c>
      <c r="F20" s="506">
        <v>581471.67820996291</v>
      </c>
      <c r="G20" s="499">
        <v>74612.516014807363</v>
      </c>
      <c r="H20" s="500">
        <v>74612.516014807363</v>
      </c>
      <c r="I20" s="501">
        <v>0</v>
      </c>
      <c r="J20" s="351"/>
      <c r="K20" s="507">
        <f t="shared" si="1"/>
        <v>74612.516014807363</v>
      </c>
      <c r="L20" s="351">
        <f t="shared" si="6"/>
        <v>0</v>
      </c>
      <c r="M20" s="507">
        <f t="shared" si="3"/>
        <v>74612.516014807363</v>
      </c>
      <c r="N20" s="501">
        <f>IF(M20&lt;&gt;0,+H20-M20,0)</f>
        <v>0</v>
      </c>
      <c r="O20" s="505">
        <f>+N20-L20</f>
        <v>0</v>
      </c>
      <c r="P20" s="279"/>
      <c r="R20" s="244"/>
      <c r="S20" s="244"/>
      <c r="T20" s="244"/>
      <c r="U20" s="244"/>
    </row>
    <row r="21" spans="2:21" ht="12.5">
      <c r="B21" s="145" t="str">
        <f t="shared" si="0"/>
        <v/>
      </c>
      <c r="C21" s="496">
        <f>IF(D12="","-",+C20+1)</f>
        <v>2015</v>
      </c>
      <c r="D21" s="506">
        <v>581471.67820996291</v>
      </c>
      <c r="E21" s="499">
        <v>10634.741311914131</v>
      </c>
      <c r="F21" s="506">
        <v>570836.93689804873</v>
      </c>
      <c r="G21" s="499">
        <v>69468.300328468598</v>
      </c>
      <c r="H21" s="500">
        <v>69468.300328468569</v>
      </c>
      <c r="I21" s="501">
        <v>0</v>
      </c>
      <c r="J21" s="351"/>
      <c r="K21" s="507">
        <f t="shared" si="1"/>
        <v>69468.300328468598</v>
      </c>
      <c r="L21" s="351">
        <f t="shared" si="6"/>
        <v>0</v>
      </c>
      <c r="M21" s="507">
        <f t="shared" si="3"/>
        <v>69468.300328468569</v>
      </c>
      <c r="N21" s="501">
        <f>IF(M21&lt;&gt;0,+H21-M21,0)</f>
        <v>0</v>
      </c>
      <c r="O21" s="505">
        <f>+N21-L21</f>
        <v>0</v>
      </c>
      <c r="P21" s="279"/>
      <c r="R21" s="244"/>
      <c r="S21" s="244"/>
      <c r="T21" s="244"/>
      <c r="U21" s="244"/>
    </row>
    <row r="22" spans="2:21" ht="12.5">
      <c r="B22" s="145" t="str">
        <f t="shared" si="0"/>
        <v/>
      </c>
      <c r="C22" s="496">
        <f>IF(D11="","-",+C21+1)</f>
        <v>2016</v>
      </c>
      <c r="D22" s="506">
        <v>570836.93689804873</v>
      </c>
      <c r="E22" s="499">
        <v>12774.231778414165</v>
      </c>
      <c r="F22" s="506">
        <v>558062.70511963451</v>
      </c>
      <c r="G22" s="499">
        <v>72978.242931137109</v>
      </c>
      <c r="H22" s="500">
        <v>72978.242931137109</v>
      </c>
      <c r="I22" s="501">
        <f t="shared" ref="I22:I49" si="7">H22-G22</f>
        <v>0</v>
      </c>
      <c r="J22" s="501"/>
      <c r="K22" s="507">
        <f t="shared" si="1"/>
        <v>72978.242931137109</v>
      </c>
      <c r="L22" s="351">
        <f t="shared" si="6"/>
        <v>0</v>
      </c>
      <c r="M22" s="507">
        <f t="shared" si="3"/>
        <v>72978.242931137109</v>
      </c>
      <c r="N22" s="501">
        <f t="shared" si="4"/>
        <v>0</v>
      </c>
      <c r="O22" s="505">
        <f t="shared" si="5"/>
        <v>0</v>
      </c>
      <c r="P22" s="279"/>
      <c r="R22" s="244"/>
      <c r="S22" s="244"/>
      <c r="T22" s="244"/>
      <c r="U22" s="244"/>
    </row>
    <row r="23" spans="2:21" ht="12.5">
      <c r="B23" s="145" t="str">
        <f t="shared" si="0"/>
        <v/>
      </c>
      <c r="C23" s="496">
        <f>IF(D11="","-",+C22+1)</f>
        <v>2017</v>
      </c>
      <c r="D23" s="506">
        <v>558062.70511963451</v>
      </c>
      <c r="E23" s="499">
        <v>12087.261057971307</v>
      </c>
      <c r="F23" s="506">
        <v>545975.44406166323</v>
      </c>
      <c r="G23" s="499">
        <v>72776.222858216002</v>
      </c>
      <c r="H23" s="500">
        <v>72776.222858216002</v>
      </c>
      <c r="I23" s="501">
        <f t="shared" si="7"/>
        <v>0</v>
      </c>
      <c r="J23" s="501"/>
      <c r="K23" s="507">
        <f>G23</f>
        <v>72776.222858216002</v>
      </c>
      <c r="L23" s="351">
        <f t="shared" si="6"/>
        <v>0</v>
      </c>
      <c r="M23" s="507">
        <f>H23</f>
        <v>72776.222858216002</v>
      </c>
      <c r="N23" s="501">
        <f>IF(M23&lt;&gt;0,+H23-M23,0)</f>
        <v>0</v>
      </c>
      <c r="O23" s="505">
        <f>+N23-L23</f>
        <v>0</v>
      </c>
      <c r="P23" s="279"/>
      <c r="R23" s="244"/>
      <c r="S23" s="244"/>
      <c r="T23" s="244"/>
      <c r="U23" s="244"/>
    </row>
    <row r="24" spans="2:21" ht="12.5">
      <c r="B24" s="145" t="str">
        <f t="shared" si="0"/>
        <v/>
      </c>
      <c r="C24" s="496">
        <f>IF(D11="","-",+C23+1)</f>
        <v>2018</v>
      </c>
      <c r="D24" s="506">
        <v>545975.44406166323</v>
      </c>
      <c r="E24" s="499">
        <v>15076.56031908646</v>
      </c>
      <c r="F24" s="506">
        <v>530898.88374257681</v>
      </c>
      <c r="G24" s="499">
        <v>69794.510007934223</v>
      </c>
      <c r="H24" s="500">
        <v>69794.510007934223</v>
      </c>
      <c r="I24" s="501">
        <v>0</v>
      </c>
      <c r="J24" s="501"/>
      <c r="K24" s="507">
        <f>G24</f>
        <v>69794.510007934223</v>
      </c>
      <c r="L24" s="351">
        <f t="shared" si="6"/>
        <v>0</v>
      </c>
      <c r="M24" s="507">
        <f>H24</f>
        <v>69794.510007934223</v>
      </c>
      <c r="N24" s="501">
        <f>IF(M24&lt;&gt;0,+H24-M24,0)</f>
        <v>0</v>
      </c>
      <c r="O24" s="505">
        <f>+N24-L24</f>
        <v>0</v>
      </c>
      <c r="P24" s="279"/>
      <c r="R24" s="244"/>
      <c r="S24" s="244"/>
      <c r="T24" s="244"/>
      <c r="U24" s="244"/>
    </row>
    <row r="25" spans="2:21" ht="12.5">
      <c r="B25" s="145" t="str">
        <f t="shared" si="0"/>
        <v/>
      </c>
      <c r="C25" s="496">
        <f>IF(D11="","-",+C24+1)</f>
        <v>2019</v>
      </c>
      <c r="D25" s="509">
        <v>530898.88374257681</v>
      </c>
      <c r="E25" s="510">
        <v>18232.865121942861</v>
      </c>
      <c r="F25" s="511">
        <v>512666.01862063393</v>
      </c>
      <c r="G25" s="512">
        <v>72464.827452468948</v>
      </c>
      <c r="H25" s="478">
        <v>72464.827452468948</v>
      </c>
      <c r="I25" s="501">
        <f t="shared" si="7"/>
        <v>0</v>
      </c>
      <c r="J25" s="501"/>
      <c r="K25" s="507">
        <f>G25</f>
        <v>72464.827452468948</v>
      </c>
      <c r="L25" s="351">
        <f t="shared" ref="L25" si="8">IF(K25&lt;&gt;0,+G25-K25,0)</f>
        <v>0</v>
      </c>
      <c r="M25" s="507">
        <f>H25</f>
        <v>72464.827452468948</v>
      </c>
      <c r="N25" s="501">
        <f>IF(M25&lt;&gt;0,+H25-M25,0)</f>
        <v>0</v>
      </c>
      <c r="O25" s="505">
        <f>+N25-L25</f>
        <v>0</v>
      </c>
      <c r="P25" s="279"/>
      <c r="R25" s="244"/>
      <c r="S25" s="244"/>
      <c r="T25" s="244"/>
      <c r="U25" s="244"/>
    </row>
    <row r="26" spans="2:21" ht="12.5">
      <c r="B26" s="145" t="str">
        <f t="shared" si="0"/>
        <v/>
      </c>
      <c r="C26" s="496">
        <f>IF(D11="","-",+C25+1)</f>
        <v>2020</v>
      </c>
      <c r="D26" s="509">
        <f>IF(F25+SUM(E$17:E25)=D$10,F25,D$10-SUM(E$17:E25))</f>
        <v>512666.01862063393</v>
      </c>
      <c r="E26" s="510">
        <f>IF(+I14&lt;F25,I14,D26)</f>
        <v>14993.975609756097</v>
      </c>
      <c r="F26" s="511">
        <f t="shared" ref="F26:F50" si="9">+D26-E26</f>
        <v>497672.04301087785</v>
      </c>
      <c r="G26" s="512">
        <f t="shared" ref="G26:G73" si="10">(D26+F26)/2*I$12+E26</f>
        <v>74346.803835390092</v>
      </c>
      <c r="H26" s="478">
        <f t="shared" ref="H26:H73" si="11">+(D26+F26)/2*I$13+E26</f>
        <v>74346.803835390092</v>
      </c>
      <c r="I26" s="501">
        <f t="shared" si="7"/>
        <v>0</v>
      </c>
      <c r="J26" s="501"/>
      <c r="K26" s="513"/>
      <c r="L26" s="505">
        <f t="shared" si="2"/>
        <v>0</v>
      </c>
      <c r="M26" s="513"/>
      <c r="N26" s="505">
        <f t="shared" si="4"/>
        <v>0</v>
      </c>
      <c r="O26" s="505">
        <f t="shared" si="5"/>
        <v>0</v>
      </c>
      <c r="P26" s="279"/>
      <c r="R26" s="244"/>
      <c r="S26" s="244"/>
      <c r="T26" s="244"/>
      <c r="U26" s="244"/>
    </row>
    <row r="27" spans="2:21" ht="12.5">
      <c r="B27" s="145" t="str">
        <f t="shared" si="0"/>
        <v/>
      </c>
      <c r="C27" s="496">
        <f>IF(D11="","-",+C26+1)</f>
        <v>2021</v>
      </c>
      <c r="D27" s="509">
        <f>IF(F26+SUM(E$17:E26)=D$10,F26,D$10-SUM(E$17:E26))</f>
        <v>497672.04301087785</v>
      </c>
      <c r="E27" s="510">
        <f>IF(+I14&lt;F26,I14,D27)</f>
        <v>14993.975609756097</v>
      </c>
      <c r="F27" s="511">
        <f t="shared" si="9"/>
        <v>482678.06740112178</v>
      </c>
      <c r="G27" s="512">
        <f t="shared" si="10"/>
        <v>72585.146242587711</v>
      </c>
      <c r="H27" s="478">
        <f t="shared" si="11"/>
        <v>72585.146242587711</v>
      </c>
      <c r="I27" s="501">
        <f t="shared" si="7"/>
        <v>0</v>
      </c>
      <c r="J27" s="501"/>
      <c r="K27" s="513"/>
      <c r="L27" s="505">
        <f t="shared" si="2"/>
        <v>0</v>
      </c>
      <c r="M27" s="513"/>
      <c r="N27" s="505">
        <f t="shared" si="4"/>
        <v>0</v>
      </c>
      <c r="O27" s="505">
        <f t="shared" si="5"/>
        <v>0</v>
      </c>
      <c r="P27" s="279"/>
      <c r="R27" s="244"/>
      <c r="S27" s="244"/>
      <c r="T27" s="244"/>
      <c r="U27" s="244"/>
    </row>
    <row r="28" spans="2:21" ht="12.5">
      <c r="B28" s="145" t="str">
        <f t="shared" si="0"/>
        <v/>
      </c>
      <c r="C28" s="496">
        <f>IF(D11="","-",+C27+1)</f>
        <v>2022</v>
      </c>
      <c r="D28" s="509">
        <f>IF(F27+SUM(E$17:E27)=D$10,F27,D$10-SUM(E$17:E27))</f>
        <v>482678.06740112178</v>
      </c>
      <c r="E28" s="510">
        <f>IF(+I14&lt;F27,I14,D28)</f>
        <v>14993.975609756097</v>
      </c>
      <c r="F28" s="511">
        <f t="shared" si="9"/>
        <v>467684.0917913657</v>
      </c>
      <c r="G28" s="512">
        <f t="shared" si="10"/>
        <v>70823.488649785315</v>
      </c>
      <c r="H28" s="478">
        <f t="shared" si="11"/>
        <v>70823.488649785315</v>
      </c>
      <c r="I28" s="501">
        <f t="shared" si="7"/>
        <v>0</v>
      </c>
      <c r="J28" s="501"/>
      <c r="K28" s="513"/>
      <c r="L28" s="505">
        <f t="shared" si="2"/>
        <v>0</v>
      </c>
      <c r="M28" s="513"/>
      <c r="N28" s="505">
        <f t="shared" si="4"/>
        <v>0</v>
      </c>
      <c r="O28" s="505">
        <f t="shared" si="5"/>
        <v>0</v>
      </c>
      <c r="P28" s="279"/>
      <c r="R28" s="244"/>
      <c r="S28" s="244"/>
      <c r="T28" s="244"/>
      <c r="U28" s="244"/>
    </row>
    <row r="29" spans="2:21" ht="12.5">
      <c r="B29" s="145" t="str">
        <f t="shared" si="0"/>
        <v/>
      </c>
      <c r="C29" s="496">
        <f>IF(D11="","-",+C28+1)</f>
        <v>2023</v>
      </c>
      <c r="D29" s="509">
        <f>IF(F28+SUM(E$17:E28)=D$10,F28,D$10-SUM(E$17:E28))</f>
        <v>467684.0917913657</v>
      </c>
      <c r="E29" s="510">
        <f>IF(+I14&lt;F28,I14,D29)</f>
        <v>14993.975609756097</v>
      </c>
      <c r="F29" s="511">
        <f t="shared" si="9"/>
        <v>452690.11618160963</v>
      </c>
      <c r="G29" s="512">
        <f t="shared" si="10"/>
        <v>69061.831056982948</v>
      </c>
      <c r="H29" s="478">
        <f t="shared" si="11"/>
        <v>69061.831056982948</v>
      </c>
      <c r="I29" s="501">
        <f t="shared" si="7"/>
        <v>0</v>
      </c>
      <c r="J29" s="501"/>
      <c r="K29" s="513"/>
      <c r="L29" s="505">
        <f t="shared" si="2"/>
        <v>0</v>
      </c>
      <c r="M29" s="513"/>
      <c r="N29" s="505">
        <f t="shared" si="4"/>
        <v>0</v>
      </c>
      <c r="O29" s="505">
        <f t="shared" si="5"/>
        <v>0</v>
      </c>
      <c r="P29" s="279"/>
      <c r="R29" s="244"/>
      <c r="S29" s="244"/>
      <c r="T29" s="244"/>
      <c r="U29" s="244"/>
    </row>
    <row r="30" spans="2:21" ht="12.5">
      <c r="B30" s="145" t="str">
        <f t="shared" si="0"/>
        <v/>
      </c>
      <c r="C30" s="496">
        <f>IF(D11="","-",+C29+1)</f>
        <v>2024</v>
      </c>
      <c r="D30" s="509">
        <f>IF(F29+SUM(E$17:E29)=D$10,F29,D$10-SUM(E$17:E29))</f>
        <v>452690.11618160963</v>
      </c>
      <c r="E30" s="510">
        <f>IF(+I14&lt;F29,I14,D30)</f>
        <v>14993.975609756097</v>
      </c>
      <c r="F30" s="511">
        <f t="shared" si="9"/>
        <v>437696.14057185355</v>
      </c>
      <c r="G30" s="512">
        <f t="shared" si="10"/>
        <v>67300.173464180552</v>
      </c>
      <c r="H30" s="478">
        <f t="shared" si="11"/>
        <v>67300.173464180552</v>
      </c>
      <c r="I30" s="501">
        <f t="shared" si="7"/>
        <v>0</v>
      </c>
      <c r="J30" s="501"/>
      <c r="K30" s="513"/>
      <c r="L30" s="505">
        <f t="shared" si="2"/>
        <v>0</v>
      </c>
      <c r="M30" s="513"/>
      <c r="N30" s="505">
        <f t="shared" si="4"/>
        <v>0</v>
      </c>
      <c r="O30" s="505">
        <f t="shared" si="5"/>
        <v>0</v>
      </c>
      <c r="P30" s="279"/>
      <c r="R30" s="244"/>
      <c r="S30" s="244"/>
      <c r="T30" s="244"/>
      <c r="U30" s="244"/>
    </row>
    <row r="31" spans="2:21" ht="12.5">
      <c r="B31" s="145" t="str">
        <f t="shared" si="0"/>
        <v/>
      </c>
      <c r="C31" s="496">
        <f>IF(D11="","-",+C30+1)</f>
        <v>2025</v>
      </c>
      <c r="D31" s="509">
        <f>IF(F30+SUM(E$17:E30)=D$10,F30,D$10-SUM(E$17:E30))</f>
        <v>437696.14057185355</v>
      </c>
      <c r="E31" s="510">
        <f>IF(+I14&lt;F30,I14,D31)</f>
        <v>14993.975609756097</v>
      </c>
      <c r="F31" s="511">
        <f t="shared" si="9"/>
        <v>422702.16496209748</v>
      </c>
      <c r="G31" s="512">
        <f t="shared" si="10"/>
        <v>65538.515871378171</v>
      </c>
      <c r="H31" s="478">
        <f t="shared" si="11"/>
        <v>65538.515871378171</v>
      </c>
      <c r="I31" s="501">
        <f t="shared" si="7"/>
        <v>0</v>
      </c>
      <c r="J31" s="351"/>
      <c r="K31" s="513"/>
      <c r="L31" s="505">
        <f>IF(K31&lt;&gt;0,+G31-K31,0)</f>
        <v>0</v>
      </c>
      <c r="M31" s="513"/>
      <c r="N31" s="505">
        <f>IF(M31&lt;&gt;0,+H31-M31,0)</f>
        <v>0</v>
      </c>
      <c r="O31" s="505">
        <f>+N31-L31</f>
        <v>0</v>
      </c>
      <c r="P31" s="279"/>
      <c r="Q31" s="221"/>
      <c r="R31" s="279"/>
      <c r="S31" s="279"/>
      <c r="T31" s="279"/>
      <c r="U31" s="244"/>
    </row>
    <row r="32" spans="2:21" ht="12.5">
      <c r="B32" s="145" t="str">
        <f t="shared" si="0"/>
        <v/>
      </c>
      <c r="C32" s="496">
        <f>IF(D12="","-",+C31+1)</f>
        <v>2026</v>
      </c>
      <c r="D32" s="509">
        <f>IF(F31+SUM(E$17:E31)=D$10,F31,D$10-SUM(E$17:E31))</f>
        <v>422702.16496209748</v>
      </c>
      <c r="E32" s="510">
        <f>IF(+I14&lt;F31,I14,D32)</f>
        <v>14993.975609756097</v>
      </c>
      <c r="F32" s="511">
        <f>+D32-E32</f>
        <v>407708.1893523414</v>
      </c>
      <c r="G32" s="512">
        <f t="shared" si="10"/>
        <v>63776.85827857579</v>
      </c>
      <c r="H32" s="478">
        <f t="shared" si="11"/>
        <v>63776.85827857579</v>
      </c>
      <c r="I32" s="501">
        <f>H32-G32</f>
        <v>0</v>
      </c>
      <c r="J32" s="351"/>
      <c r="K32" s="513"/>
      <c r="L32" s="505">
        <f>IF(K32&lt;&gt;0,+G32-K32,0)</f>
        <v>0</v>
      </c>
      <c r="M32" s="513"/>
      <c r="N32" s="505">
        <f>IF(M32&lt;&gt;0,+H32-M32,0)</f>
        <v>0</v>
      </c>
      <c r="O32" s="505">
        <f>+N32-L32</f>
        <v>0</v>
      </c>
      <c r="P32" s="279"/>
      <c r="Q32" s="221"/>
      <c r="R32" s="279"/>
      <c r="S32" s="279"/>
      <c r="T32" s="279"/>
      <c r="U32" s="244"/>
    </row>
    <row r="33" spans="2:21" ht="12.5">
      <c r="B33" s="145" t="str">
        <f t="shared" si="0"/>
        <v/>
      </c>
      <c r="C33" s="496">
        <f>IF(D13="","-",+C32+1)</f>
        <v>2027</v>
      </c>
      <c r="D33" s="509">
        <f>IF(F32+SUM(E$17:E32)=D$10,F32,D$10-SUM(E$17:E32))</f>
        <v>407708.1893523414</v>
      </c>
      <c r="E33" s="510">
        <f>IF(+I14&lt;F31,I14,D33)</f>
        <v>14993.975609756097</v>
      </c>
      <c r="F33" s="511">
        <f t="shared" si="9"/>
        <v>392714.21374258533</v>
      </c>
      <c r="G33" s="512">
        <f t="shared" si="10"/>
        <v>62015.200685773401</v>
      </c>
      <c r="H33" s="478">
        <f t="shared" si="11"/>
        <v>62015.200685773401</v>
      </c>
      <c r="I33" s="501">
        <f t="shared" si="7"/>
        <v>0</v>
      </c>
      <c r="J33" s="501"/>
      <c r="K33" s="513"/>
      <c r="L33" s="505">
        <f>IF(K33&lt;&gt;0,+G33-K33,0)</f>
        <v>0</v>
      </c>
      <c r="M33" s="513"/>
      <c r="N33" s="505">
        <f>IF(M33&lt;&gt;0,+H33-M33,0)</f>
        <v>0</v>
      </c>
      <c r="O33" s="505">
        <f>+N33-L33</f>
        <v>0</v>
      </c>
      <c r="P33" s="279"/>
      <c r="R33" s="244"/>
      <c r="S33" s="244"/>
      <c r="T33" s="244"/>
      <c r="U33" s="244"/>
    </row>
    <row r="34" spans="2:21" ht="12.5">
      <c r="B34" s="145" t="str">
        <f t="shared" si="0"/>
        <v/>
      </c>
      <c r="C34" s="496">
        <f>IF(D14="","-",+C33+1)</f>
        <v>2028</v>
      </c>
      <c r="D34" s="515">
        <f>IF(F33+SUM(E$17:E33)=D$10,F33,D$10-SUM(E$17:E33))</f>
        <v>392714.21374258533</v>
      </c>
      <c r="E34" s="516">
        <f>IF(+I14&lt;F33,I14,D34)</f>
        <v>14993.975609756097</v>
      </c>
      <c r="F34" s="517">
        <f t="shared" si="9"/>
        <v>377720.23813282925</v>
      </c>
      <c r="G34" s="518">
        <f t="shared" si="10"/>
        <v>60253.54309297102</v>
      </c>
      <c r="H34" s="519">
        <f t="shared" si="11"/>
        <v>60253.54309297102</v>
      </c>
      <c r="I34" s="520">
        <f t="shared" si="7"/>
        <v>0</v>
      </c>
      <c r="J34" s="520"/>
      <c r="K34" s="521"/>
      <c r="L34" s="522">
        <f t="shared" si="2"/>
        <v>0</v>
      </c>
      <c r="M34" s="521"/>
      <c r="N34" s="522">
        <f t="shared" si="4"/>
        <v>0</v>
      </c>
      <c r="O34" s="522">
        <f t="shared" si="5"/>
        <v>0</v>
      </c>
      <c r="P34" s="523"/>
      <c r="Q34" s="217"/>
      <c r="R34" s="523"/>
      <c r="S34" s="523"/>
      <c r="T34" s="523"/>
      <c r="U34" s="244"/>
    </row>
    <row r="35" spans="2:21" ht="12.5">
      <c r="B35" s="145" t="str">
        <f t="shared" si="0"/>
        <v/>
      </c>
      <c r="C35" s="496">
        <f>IF(D11="","-",+C34+1)</f>
        <v>2029</v>
      </c>
      <c r="D35" s="509">
        <f>IF(F34+SUM(E$17:E34)=D$10,F34,D$10-SUM(E$17:E34))</f>
        <v>377720.23813282925</v>
      </c>
      <c r="E35" s="510">
        <f>IF(+I14&lt;F34,I14,D35)</f>
        <v>14993.975609756097</v>
      </c>
      <c r="F35" s="511">
        <f t="shared" si="9"/>
        <v>362726.26252307318</v>
      </c>
      <c r="G35" s="512">
        <f t="shared" si="10"/>
        <v>58491.885500168632</v>
      </c>
      <c r="H35" s="478">
        <f t="shared" si="11"/>
        <v>58491.885500168632</v>
      </c>
      <c r="I35" s="501">
        <f t="shared" si="7"/>
        <v>0</v>
      </c>
      <c r="J35" s="501"/>
      <c r="K35" s="513"/>
      <c r="L35" s="505">
        <f t="shared" si="2"/>
        <v>0</v>
      </c>
      <c r="M35" s="513"/>
      <c r="N35" s="505">
        <f t="shared" si="4"/>
        <v>0</v>
      </c>
      <c r="O35" s="505">
        <f t="shared" si="5"/>
        <v>0</v>
      </c>
      <c r="P35" s="279"/>
      <c r="R35" s="244"/>
      <c r="S35" s="244"/>
      <c r="T35" s="244"/>
      <c r="U35" s="244"/>
    </row>
    <row r="36" spans="2:21" ht="12.5">
      <c r="B36" s="145" t="str">
        <f t="shared" si="0"/>
        <v/>
      </c>
      <c r="C36" s="496">
        <f>IF(D11="","-",+C35+1)</f>
        <v>2030</v>
      </c>
      <c r="D36" s="509">
        <f>IF(F35+SUM(E$17:E35)=D$10,F35,D$10-SUM(E$17:E35))</f>
        <v>362726.26252307318</v>
      </c>
      <c r="E36" s="510">
        <f>IF(+I14&lt;F35,I14,D36)</f>
        <v>14993.975609756097</v>
      </c>
      <c r="F36" s="511">
        <f t="shared" si="9"/>
        <v>347732.2869133171</v>
      </c>
      <c r="G36" s="512">
        <f t="shared" si="10"/>
        <v>56730.22790736625</v>
      </c>
      <c r="H36" s="478">
        <f t="shared" si="11"/>
        <v>56730.22790736625</v>
      </c>
      <c r="I36" s="501">
        <f t="shared" si="7"/>
        <v>0</v>
      </c>
      <c r="J36" s="501"/>
      <c r="K36" s="513"/>
      <c r="L36" s="505">
        <f t="shared" si="2"/>
        <v>0</v>
      </c>
      <c r="M36" s="513"/>
      <c r="N36" s="505">
        <f t="shared" si="4"/>
        <v>0</v>
      </c>
      <c r="O36" s="505">
        <f t="shared" si="5"/>
        <v>0</v>
      </c>
      <c r="P36" s="279"/>
      <c r="R36" s="244"/>
      <c r="S36" s="244"/>
      <c r="T36" s="244"/>
      <c r="U36" s="244"/>
    </row>
    <row r="37" spans="2:21" ht="12.5">
      <c r="B37" s="145" t="str">
        <f t="shared" si="0"/>
        <v/>
      </c>
      <c r="C37" s="496">
        <f>IF(D11="","-",+C36+1)</f>
        <v>2031</v>
      </c>
      <c r="D37" s="509">
        <f>IF(F36+SUM(E$17:E36)=D$10,F36,D$10-SUM(E$17:E36))</f>
        <v>347732.2869133171</v>
      </c>
      <c r="E37" s="510">
        <f>IF(+I14&lt;F36,I14,D37)</f>
        <v>14993.975609756097</v>
      </c>
      <c r="F37" s="511">
        <f t="shared" si="9"/>
        <v>332738.31130356103</v>
      </c>
      <c r="G37" s="512">
        <f t="shared" si="10"/>
        <v>54968.570314563862</v>
      </c>
      <c r="H37" s="478">
        <f t="shared" si="11"/>
        <v>54968.570314563862</v>
      </c>
      <c r="I37" s="501">
        <f t="shared" si="7"/>
        <v>0</v>
      </c>
      <c r="J37" s="501"/>
      <c r="K37" s="513"/>
      <c r="L37" s="505">
        <f t="shared" si="2"/>
        <v>0</v>
      </c>
      <c r="M37" s="513"/>
      <c r="N37" s="505">
        <f t="shared" si="4"/>
        <v>0</v>
      </c>
      <c r="O37" s="505">
        <f t="shared" si="5"/>
        <v>0</v>
      </c>
      <c r="P37" s="279"/>
      <c r="R37" s="244"/>
      <c r="S37" s="244"/>
      <c r="T37" s="244"/>
      <c r="U37" s="244"/>
    </row>
    <row r="38" spans="2:21" ht="12.5">
      <c r="B38" s="145" t="str">
        <f t="shared" si="0"/>
        <v/>
      </c>
      <c r="C38" s="496">
        <f>IF(D11="","-",+C37+1)</f>
        <v>2032</v>
      </c>
      <c r="D38" s="509">
        <f>IF(F37+SUM(E$17:E37)=D$10,F37,D$10-SUM(E$17:E37))</f>
        <v>332738.31130356103</v>
      </c>
      <c r="E38" s="510">
        <f>IF(+I14&lt;F37,I14,D38)</f>
        <v>14993.975609756097</v>
      </c>
      <c r="F38" s="511">
        <f t="shared" si="9"/>
        <v>317744.33569380495</v>
      </c>
      <c r="G38" s="512">
        <f t="shared" si="10"/>
        <v>53206.91272176148</v>
      </c>
      <c r="H38" s="478">
        <f t="shared" si="11"/>
        <v>53206.91272176148</v>
      </c>
      <c r="I38" s="501">
        <f t="shared" si="7"/>
        <v>0</v>
      </c>
      <c r="J38" s="501"/>
      <c r="K38" s="513"/>
      <c r="L38" s="505">
        <f t="shared" si="2"/>
        <v>0</v>
      </c>
      <c r="M38" s="513"/>
      <c r="N38" s="505">
        <f t="shared" si="4"/>
        <v>0</v>
      </c>
      <c r="O38" s="505">
        <f t="shared" si="5"/>
        <v>0</v>
      </c>
      <c r="P38" s="279"/>
      <c r="R38" s="244"/>
      <c r="S38" s="244"/>
      <c r="T38" s="244"/>
      <c r="U38" s="244"/>
    </row>
    <row r="39" spans="2:21" ht="12.5">
      <c r="B39" s="145" t="str">
        <f t="shared" si="0"/>
        <v/>
      </c>
      <c r="C39" s="496">
        <f>IF(D11="","-",+C38+1)</f>
        <v>2033</v>
      </c>
      <c r="D39" s="509">
        <f>IF(F38+SUM(E$17:E38)=D$10,F38,D$10-SUM(E$17:E38))</f>
        <v>317744.33569380495</v>
      </c>
      <c r="E39" s="510">
        <f>IF(+I14&lt;F38,I14,D39)</f>
        <v>14993.975609756097</v>
      </c>
      <c r="F39" s="511">
        <f t="shared" si="9"/>
        <v>302750.36008404888</v>
      </c>
      <c r="G39" s="512">
        <f t="shared" si="10"/>
        <v>51445.255128959099</v>
      </c>
      <c r="H39" s="478">
        <f t="shared" si="11"/>
        <v>51445.255128959099</v>
      </c>
      <c r="I39" s="501">
        <f t="shared" si="7"/>
        <v>0</v>
      </c>
      <c r="J39" s="501"/>
      <c r="K39" s="513"/>
      <c r="L39" s="505">
        <f t="shared" si="2"/>
        <v>0</v>
      </c>
      <c r="M39" s="513"/>
      <c r="N39" s="505">
        <f t="shared" si="4"/>
        <v>0</v>
      </c>
      <c r="O39" s="505">
        <f t="shared" si="5"/>
        <v>0</v>
      </c>
      <c r="P39" s="279"/>
      <c r="R39" s="244"/>
      <c r="S39" s="244"/>
      <c r="T39" s="244"/>
      <c r="U39" s="244"/>
    </row>
    <row r="40" spans="2:21" ht="12.5">
      <c r="B40" s="145" t="str">
        <f t="shared" si="0"/>
        <v/>
      </c>
      <c r="C40" s="496">
        <f>IF(D11="","-",+C39+1)</f>
        <v>2034</v>
      </c>
      <c r="D40" s="509">
        <f>IF(F39+SUM(E$17:E39)=D$10,F39,D$10-SUM(E$17:E39))</f>
        <v>302750.36008404888</v>
      </c>
      <c r="E40" s="510">
        <f>IF(+I14&lt;F39,I14,D40)</f>
        <v>14993.975609756097</v>
      </c>
      <c r="F40" s="511">
        <f t="shared" si="9"/>
        <v>287756.3844742928</v>
      </c>
      <c r="G40" s="512">
        <f t="shared" si="10"/>
        <v>49683.597536156711</v>
      </c>
      <c r="H40" s="478">
        <f t="shared" si="11"/>
        <v>49683.597536156711</v>
      </c>
      <c r="I40" s="501">
        <f t="shared" si="7"/>
        <v>0</v>
      </c>
      <c r="J40" s="501"/>
      <c r="K40" s="513"/>
      <c r="L40" s="505">
        <f t="shared" si="2"/>
        <v>0</v>
      </c>
      <c r="M40" s="513"/>
      <c r="N40" s="505">
        <f t="shared" si="4"/>
        <v>0</v>
      </c>
      <c r="O40" s="505">
        <f t="shared" si="5"/>
        <v>0</v>
      </c>
      <c r="P40" s="279"/>
      <c r="R40" s="244"/>
      <c r="S40" s="244"/>
      <c r="T40" s="244"/>
      <c r="U40" s="244"/>
    </row>
    <row r="41" spans="2:21" ht="12.5">
      <c r="B41" s="145" t="str">
        <f t="shared" si="0"/>
        <v/>
      </c>
      <c r="C41" s="496">
        <f>IF(D12="","-",+C40+1)</f>
        <v>2035</v>
      </c>
      <c r="D41" s="509">
        <f>IF(F40+SUM(E$17:E40)=D$10,F40,D$10-SUM(E$17:E40))</f>
        <v>287756.3844742928</v>
      </c>
      <c r="E41" s="510">
        <f>IF(+I14&lt;F40,I14,D41)</f>
        <v>14993.975609756097</v>
      </c>
      <c r="F41" s="511">
        <f t="shared" si="9"/>
        <v>272762.40886453673</v>
      </c>
      <c r="G41" s="512">
        <f t="shared" si="10"/>
        <v>47921.939943354329</v>
      </c>
      <c r="H41" s="478">
        <f t="shared" si="11"/>
        <v>47921.939943354329</v>
      </c>
      <c r="I41" s="501">
        <f t="shared" si="7"/>
        <v>0</v>
      </c>
      <c r="J41" s="501"/>
      <c r="K41" s="513"/>
      <c r="L41" s="505">
        <f t="shared" si="2"/>
        <v>0</v>
      </c>
      <c r="M41" s="513"/>
      <c r="N41" s="505">
        <f t="shared" si="4"/>
        <v>0</v>
      </c>
      <c r="O41" s="505">
        <f t="shared" si="5"/>
        <v>0</v>
      </c>
      <c r="P41" s="279"/>
      <c r="R41" s="244"/>
      <c r="S41" s="244"/>
      <c r="T41" s="244"/>
      <c r="U41" s="244"/>
    </row>
    <row r="42" spans="2:21" ht="12.5">
      <c r="B42" s="145" t="str">
        <f t="shared" si="0"/>
        <v/>
      </c>
      <c r="C42" s="496">
        <f>IF(D13="","-",+C41+1)</f>
        <v>2036</v>
      </c>
      <c r="D42" s="509">
        <f>IF(F41+SUM(E$17:E41)=D$10,F41,D$10-SUM(E$17:E41))</f>
        <v>272762.40886453673</v>
      </c>
      <c r="E42" s="510">
        <f>IF(+I14&lt;F41,I14,D42)</f>
        <v>14993.975609756097</v>
      </c>
      <c r="F42" s="511">
        <f t="shared" si="9"/>
        <v>257768.43325478063</v>
      </c>
      <c r="G42" s="512">
        <f t="shared" si="10"/>
        <v>46160.282350551941</v>
      </c>
      <c r="H42" s="478">
        <f t="shared" si="11"/>
        <v>46160.282350551941</v>
      </c>
      <c r="I42" s="501">
        <f t="shared" si="7"/>
        <v>0</v>
      </c>
      <c r="J42" s="501"/>
      <c r="K42" s="513"/>
      <c r="L42" s="505">
        <f t="shared" si="2"/>
        <v>0</v>
      </c>
      <c r="M42" s="513"/>
      <c r="N42" s="505">
        <f t="shared" si="4"/>
        <v>0</v>
      </c>
      <c r="O42" s="505">
        <f t="shared" si="5"/>
        <v>0</v>
      </c>
      <c r="P42" s="279"/>
      <c r="R42" s="244"/>
      <c r="S42" s="244"/>
      <c r="T42" s="244"/>
      <c r="U42" s="244"/>
    </row>
    <row r="43" spans="2:21" ht="12.5">
      <c r="B43" s="145" t="str">
        <f t="shared" si="0"/>
        <v/>
      </c>
      <c r="C43" s="496">
        <f>IF(D14="","-",+C42+1)</f>
        <v>2037</v>
      </c>
      <c r="D43" s="509">
        <f>IF(F42+SUM(E$17:E42)=D$10,F42,D$10-SUM(E$17:E42))</f>
        <v>257768.43325478063</v>
      </c>
      <c r="E43" s="510">
        <f>IF(+I14&lt;F42,I14,D43)</f>
        <v>14993.975609756097</v>
      </c>
      <c r="F43" s="511">
        <f t="shared" si="9"/>
        <v>242774.45764502452</v>
      </c>
      <c r="G43" s="512">
        <f t="shared" si="10"/>
        <v>44398.624757749552</v>
      </c>
      <c r="H43" s="478">
        <f t="shared" si="11"/>
        <v>44398.624757749552</v>
      </c>
      <c r="I43" s="501">
        <f t="shared" si="7"/>
        <v>0</v>
      </c>
      <c r="J43" s="501"/>
      <c r="K43" s="513"/>
      <c r="L43" s="505">
        <f t="shared" si="2"/>
        <v>0</v>
      </c>
      <c r="M43" s="513"/>
      <c r="N43" s="505">
        <f t="shared" si="4"/>
        <v>0</v>
      </c>
      <c r="O43" s="505">
        <f t="shared" si="5"/>
        <v>0</v>
      </c>
      <c r="P43" s="279"/>
      <c r="R43" s="244"/>
      <c r="S43" s="244"/>
      <c r="T43" s="244"/>
      <c r="U43" s="244"/>
    </row>
    <row r="44" spans="2:21" ht="12.5">
      <c r="B44" s="145" t="str">
        <f t="shared" si="0"/>
        <v/>
      </c>
      <c r="C44" s="496">
        <f>IF(D11="","-",+C43+1)</f>
        <v>2038</v>
      </c>
      <c r="D44" s="509">
        <f>IF(F43+SUM(E$17:E43)=D$10,F43,D$10-SUM(E$17:E43))</f>
        <v>242774.45764502452</v>
      </c>
      <c r="E44" s="510">
        <f>IF(+I14&lt;F43,I14,D44)</f>
        <v>14993.975609756097</v>
      </c>
      <c r="F44" s="511">
        <f t="shared" si="9"/>
        <v>227780.48203526842</v>
      </c>
      <c r="G44" s="512">
        <f t="shared" si="10"/>
        <v>42636.967164947171</v>
      </c>
      <c r="H44" s="478">
        <f t="shared" si="11"/>
        <v>42636.967164947171</v>
      </c>
      <c r="I44" s="501">
        <f t="shared" si="7"/>
        <v>0</v>
      </c>
      <c r="J44" s="501"/>
      <c r="K44" s="513"/>
      <c r="L44" s="505">
        <f t="shared" si="2"/>
        <v>0</v>
      </c>
      <c r="M44" s="513"/>
      <c r="N44" s="505">
        <f t="shared" si="4"/>
        <v>0</v>
      </c>
      <c r="O44" s="505">
        <f t="shared" si="5"/>
        <v>0</v>
      </c>
      <c r="P44" s="279"/>
      <c r="R44" s="244"/>
      <c r="S44" s="244"/>
      <c r="T44" s="244"/>
      <c r="U44" s="244"/>
    </row>
    <row r="45" spans="2:21" ht="12.5">
      <c r="B45" s="145" t="str">
        <f t="shared" si="0"/>
        <v/>
      </c>
      <c r="C45" s="496">
        <f>IF(D11="","-",+C44+1)</f>
        <v>2039</v>
      </c>
      <c r="D45" s="509">
        <f>IF(F44+SUM(E$17:E44)=D$10,F44,D$10-SUM(E$17:E44))</f>
        <v>227780.48203526842</v>
      </c>
      <c r="E45" s="510">
        <f>IF(+I14&lt;F44,I14,D45)</f>
        <v>14993.975609756097</v>
      </c>
      <c r="F45" s="511">
        <f t="shared" si="9"/>
        <v>212786.50642551231</v>
      </c>
      <c r="G45" s="512">
        <f t="shared" si="10"/>
        <v>40875.309572144775</v>
      </c>
      <c r="H45" s="478">
        <f t="shared" si="11"/>
        <v>40875.309572144775</v>
      </c>
      <c r="I45" s="501">
        <f t="shared" si="7"/>
        <v>0</v>
      </c>
      <c r="J45" s="501"/>
      <c r="K45" s="513"/>
      <c r="L45" s="505">
        <f t="shared" si="2"/>
        <v>0</v>
      </c>
      <c r="M45" s="513"/>
      <c r="N45" s="505">
        <f t="shared" si="4"/>
        <v>0</v>
      </c>
      <c r="O45" s="505">
        <f t="shared" si="5"/>
        <v>0</v>
      </c>
      <c r="P45" s="279"/>
      <c r="R45" s="244"/>
      <c r="S45" s="244"/>
      <c r="T45" s="244"/>
      <c r="U45" s="244"/>
    </row>
    <row r="46" spans="2:21" ht="12.5">
      <c r="B46" s="145" t="str">
        <f t="shared" si="0"/>
        <v/>
      </c>
      <c r="C46" s="496">
        <f>IF(D11="","-",+C45+1)</f>
        <v>2040</v>
      </c>
      <c r="D46" s="509">
        <f>IF(F45+SUM(E$17:E45)=D$10,F45,D$10-SUM(E$17:E45))</f>
        <v>212786.50642551231</v>
      </c>
      <c r="E46" s="510">
        <f>IF(+I14&lt;F45,I14,D46)</f>
        <v>14993.975609756097</v>
      </c>
      <c r="F46" s="511">
        <f t="shared" si="9"/>
        <v>197792.53081575621</v>
      </c>
      <c r="G46" s="512">
        <f t="shared" si="10"/>
        <v>39113.651979342394</v>
      </c>
      <c r="H46" s="478">
        <f t="shared" si="11"/>
        <v>39113.651979342394</v>
      </c>
      <c r="I46" s="501">
        <f t="shared" si="7"/>
        <v>0</v>
      </c>
      <c r="J46" s="501"/>
      <c r="K46" s="513"/>
      <c r="L46" s="505">
        <f t="shared" si="2"/>
        <v>0</v>
      </c>
      <c r="M46" s="513"/>
      <c r="N46" s="505">
        <f t="shared" si="4"/>
        <v>0</v>
      </c>
      <c r="O46" s="505">
        <f t="shared" si="5"/>
        <v>0</v>
      </c>
      <c r="P46" s="279"/>
      <c r="R46" s="244"/>
      <c r="S46" s="244"/>
      <c r="T46" s="244"/>
      <c r="U46" s="244"/>
    </row>
    <row r="47" spans="2:21" ht="12.5">
      <c r="B47" s="145" t="str">
        <f t="shared" si="0"/>
        <v/>
      </c>
      <c r="C47" s="496">
        <f>IF(D11="","-",+C46+1)</f>
        <v>2041</v>
      </c>
      <c r="D47" s="509">
        <f>IF(F46+SUM(E$17:E46)=D$10,F46,D$10-SUM(E$17:E46))</f>
        <v>197792.53081575621</v>
      </c>
      <c r="E47" s="510">
        <f>IF(+I14&lt;F46,I14,D47)</f>
        <v>14993.975609756097</v>
      </c>
      <c r="F47" s="511">
        <f t="shared" si="9"/>
        <v>182798.55520600011</v>
      </c>
      <c r="G47" s="512">
        <f t="shared" si="10"/>
        <v>37351.994386539998</v>
      </c>
      <c r="H47" s="478">
        <f t="shared" si="11"/>
        <v>37351.994386539998</v>
      </c>
      <c r="I47" s="501">
        <f t="shared" si="7"/>
        <v>0</v>
      </c>
      <c r="J47" s="501"/>
      <c r="K47" s="513"/>
      <c r="L47" s="505">
        <f t="shared" si="2"/>
        <v>0</v>
      </c>
      <c r="M47" s="513"/>
      <c r="N47" s="505">
        <f t="shared" si="4"/>
        <v>0</v>
      </c>
      <c r="O47" s="505">
        <f t="shared" si="5"/>
        <v>0</v>
      </c>
      <c r="P47" s="279"/>
      <c r="R47" s="244"/>
      <c r="S47" s="244"/>
      <c r="T47" s="244"/>
      <c r="U47" s="244"/>
    </row>
    <row r="48" spans="2:21" ht="12.5">
      <c r="B48" s="145" t="str">
        <f t="shared" si="0"/>
        <v/>
      </c>
      <c r="C48" s="496">
        <f>IF(D11="","-",+C47+1)</f>
        <v>2042</v>
      </c>
      <c r="D48" s="509">
        <f>IF(F47+SUM(E$17:E47)=D$10,F47,D$10-SUM(E$17:E47))</f>
        <v>182798.55520600011</v>
      </c>
      <c r="E48" s="510">
        <f>IF(+I14&lt;F47,I14,D48)</f>
        <v>14993.975609756097</v>
      </c>
      <c r="F48" s="511">
        <f t="shared" si="9"/>
        <v>167804.579596244</v>
      </c>
      <c r="G48" s="512">
        <f t="shared" si="10"/>
        <v>35590.336793737617</v>
      </c>
      <c r="H48" s="478">
        <f t="shared" si="11"/>
        <v>35590.336793737617</v>
      </c>
      <c r="I48" s="501">
        <f t="shared" si="7"/>
        <v>0</v>
      </c>
      <c r="J48" s="501"/>
      <c r="K48" s="513"/>
      <c r="L48" s="505">
        <f t="shared" si="2"/>
        <v>0</v>
      </c>
      <c r="M48" s="513"/>
      <c r="N48" s="505">
        <f t="shared" si="4"/>
        <v>0</v>
      </c>
      <c r="O48" s="505">
        <f t="shared" si="5"/>
        <v>0</v>
      </c>
      <c r="P48" s="279"/>
      <c r="R48" s="244"/>
      <c r="S48" s="244"/>
      <c r="T48" s="244"/>
      <c r="U48" s="244"/>
    </row>
    <row r="49" spans="2:21" ht="12.5">
      <c r="B49" s="145" t="str">
        <f t="shared" si="0"/>
        <v/>
      </c>
      <c r="C49" s="496">
        <f>IF(D11="","-",+C48+1)</f>
        <v>2043</v>
      </c>
      <c r="D49" s="509">
        <f>IF(F48+SUM(E$17:E48)=D$10,F48,D$10-SUM(E$17:E48))</f>
        <v>167804.579596244</v>
      </c>
      <c r="E49" s="510">
        <f>IF(+I14&lt;F48,I14,D49)</f>
        <v>14993.975609756097</v>
      </c>
      <c r="F49" s="511">
        <f t="shared" si="9"/>
        <v>152810.6039864879</v>
      </c>
      <c r="G49" s="512">
        <f t="shared" si="10"/>
        <v>33828.679200935221</v>
      </c>
      <c r="H49" s="478">
        <f t="shared" si="11"/>
        <v>33828.679200935221</v>
      </c>
      <c r="I49" s="501">
        <f t="shared" si="7"/>
        <v>0</v>
      </c>
      <c r="J49" s="501"/>
      <c r="K49" s="513"/>
      <c r="L49" s="505">
        <f t="shared" si="2"/>
        <v>0</v>
      </c>
      <c r="M49" s="513"/>
      <c r="N49" s="505">
        <f t="shared" si="4"/>
        <v>0</v>
      </c>
      <c r="O49" s="505">
        <f t="shared" si="5"/>
        <v>0</v>
      </c>
      <c r="P49" s="279"/>
      <c r="R49" s="244"/>
      <c r="S49" s="244"/>
      <c r="T49" s="244"/>
      <c r="U49" s="244"/>
    </row>
    <row r="50" spans="2:21" ht="12.5">
      <c r="B50" s="145" t="str">
        <f t="shared" ref="B50:B73" si="12">IF(D50=F49,"","IU")</f>
        <v/>
      </c>
      <c r="C50" s="496">
        <f>IF(D11="","-",+C49+1)</f>
        <v>2044</v>
      </c>
      <c r="D50" s="509">
        <f>IF(F49+SUM(E$17:E49)=D$10,F49,D$10-SUM(E$17:E49))</f>
        <v>152810.6039864879</v>
      </c>
      <c r="E50" s="510">
        <f>IF(+I14&lt;F49,I14,D50)</f>
        <v>14993.975609756097</v>
      </c>
      <c r="F50" s="511">
        <f t="shared" si="9"/>
        <v>137816.62837673179</v>
      </c>
      <c r="G50" s="512">
        <f t="shared" si="10"/>
        <v>32067.02160813284</v>
      </c>
      <c r="H50" s="478">
        <f t="shared" si="11"/>
        <v>32067.02160813284</v>
      </c>
      <c r="I50" s="501">
        <f t="shared" ref="I50:I73" si="13">H50-G50</f>
        <v>0</v>
      </c>
      <c r="J50" s="501"/>
      <c r="K50" s="513"/>
      <c r="L50" s="505">
        <f t="shared" ref="L50:L73" si="14">IF(K50&lt;&gt;0,+G50-K50,0)</f>
        <v>0</v>
      </c>
      <c r="M50" s="513"/>
      <c r="N50" s="505">
        <f t="shared" ref="N50:N73" si="15">IF(M50&lt;&gt;0,+H50-M50,0)</f>
        <v>0</v>
      </c>
      <c r="O50" s="505">
        <f t="shared" ref="O50:O73" si="16">+N50-L50</f>
        <v>0</v>
      </c>
      <c r="P50" s="279"/>
      <c r="R50" s="244"/>
      <c r="S50" s="244"/>
      <c r="T50" s="244"/>
      <c r="U50" s="244"/>
    </row>
    <row r="51" spans="2:21" ht="12.5">
      <c r="B51" s="145" t="str">
        <f t="shared" si="12"/>
        <v/>
      </c>
      <c r="C51" s="496">
        <f>IF(D11="","-",+C50+1)</f>
        <v>2045</v>
      </c>
      <c r="D51" s="509">
        <f>IF(F50+SUM(E$17:E50)=D$10,F50,D$10-SUM(E$17:E50))</f>
        <v>137816.62837673179</v>
      </c>
      <c r="E51" s="510">
        <f>IF(+I14&lt;F50,I14,D51)</f>
        <v>14993.975609756097</v>
      </c>
      <c r="F51" s="511">
        <f t="shared" ref="F51:F73" si="17">+D51-E51</f>
        <v>122822.65276697569</v>
      </c>
      <c r="G51" s="512">
        <f t="shared" si="10"/>
        <v>30305.364015330451</v>
      </c>
      <c r="H51" s="478">
        <f t="shared" si="11"/>
        <v>30305.364015330451</v>
      </c>
      <c r="I51" s="501">
        <f t="shared" si="13"/>
        <v>0</v>
      </c>
      <c r="J51" s="501"/>
      <c r="K51" s="513"/>
      <c r="L51" s="505">
        <f t="shared" si="14"/>
        <v>0</v>
      </c>
      <c r="M51" s="513"/>
      <c r="N51" s="505">
        <f t="shared" si="15"/>
        <v>0</v>
      </c>
      <c r="O51" s="505">
        <f t="shared" si="16"/>
        <v>0</v>
      </c>
      <c r="P51" s="279"/>
      <c r="R51" s="244"/>
      <c r="S51" s="244"/>
      <c r="T51" s="244"/>
      <c r="U51" s="244"/>
    </row>
    <row r="52" spans="2:21" ht="12.5">
      <c r="B52" s="145" t="str">
        <f t="shared" si="12"/>
        <v/>
      </c>
      <c r="C52" s="496">
        <f>IF(D11="","-",+C51+1)</f>
        <v>2046</v>
      </c>
      <c r="D52" s="509">
        <f>IF(F51+SUM(E$17:E51)=D$10,F51,D$10-SUM(E$17:E51))</f>
        <v>122822.65276697569</v>
      </c>
      <c r="E52" s="510">
        <f>IF(+I14&lt;F51,I14,D52)</f>
        <v>14993.975609756097</v>
      </c>
      <c r="F52" s="511">
        <f t="shared" si="17"/>
        <v>107828.67715721959</v>
      </c>
      <c r="G52" s="512">
        <f t="shared" si="10"/>
        <v>28543.706422528063</v>
      </c>
      <c r="H52" s="478">
        <f t="shared" si="11"/>
        <v>28543.706422528063</v>
      </c>
      <c r="I52" s="501">
        <f t="shared" si="13"/>
        <v>0</v>
      </c>
      <c r="J52" s="501"/>
      <c r="K52" s="513"/>
      <c r="L52" s="505">
        <f t="shared" si="14"/>
        <v>0</v>
      </c>
      <c r="M52" s="513"/>
      <c r="N52" s="505">
        <f t="shared" si="15"/>
        <v>0</v>
      </c>
      <c r="O52" s="505">
        <f t="shared" si="16"/>
        <v>0</v>
      </c>
      <c r="P52" s="279"/>
      <c r="R52" s="244"/>
      <c r="S52" s="244"/>
      <c r="T52" s="244"/>
      <c r="U52" s="244"/>
    </row>
    <row r="53" spans="2:21" ht="12.5">
      <c r="B53" s="145" t="str">
        <f t="shared" si="12"/>
        <v/>
      </c>
      <c r="C53" s="496">
        <f>IF(D11="","-",+C52+1)</f>
        <v>2047</v>
      </c>
      <c r="D53" s="509">
        <f>IF(F52+SUM(E$17:E52)=D$10,F52,D$10-SUM(E$17:E52))</f>
        <v>107828.67715721959</v>
      </c>
      <c r="E53" s="510">
        <f>IF(+I14&lt;F52,I14,D53)</f>
        <v>14993.975609756097</v>
      </c>
      <c r="F53" s="511">
        <f t="shared" si="17"/>
        <v>92834.701547463483</v>
      </c>
      <c r="G53" s="512">
        <f t="shared" si="10"/>
        <v>26782.048829725674</v>
      </c>
      <c r="H53" s="478">
        <f t="shared" si="11"/>
        <v>26782.048829725674</v>
      </c>
      <c r="I53" s="501">
        <f t="shared" si="13"/>
        <v>0</v>
      </c>
      <c r="J53" s="501"/>
      <c r="K53" s="513"/>
      <c r="L53" s="505">
        <f t="shared" si="14"/>
        <v>0</v>
      </c>
      <c r="M53" s="513"/>
      <c r="N53" s="505">
        <f t="shared" si="15"/>
        <v>0</v>
      </c>
      <c r="O53" s="505">
        <f t="shared" si="16"/>
        <v>0</v>
      </c>
      <c r="P53" s="279"/>
      <c r="R53" s="244"/>
      <c r="S53" s="244"/>
      <c r="T53" s="244"/>
      <c r="U53" s="244"/>
    </row>
    <row r="54" spans="2:21" ht="12.5">
      <c r="B54" s="145" t="str">
        <f t="shared" si="12"/>
        <v/>
      </c>
      <c r="C54" s="496">
        <f>IF(D11="","-",+C53+1)</f>
        <v>2048</v>
      </c>
      <c r="D54" s="509">
        <f>IF(F53+SUM(E$17:E53)=D$10,F53,D$10-SUM(E$17:E53))</f>
        <v>92834.701547463483</v>
      </c>
      <c r="E54" s="510">
        <f>IF(+I14&lt;F53,I14,D54)</f>
        <v>14993.975609756097</v>
      </c>
      <c r="F54" s="511">
        <f t="shared" si="17"/>
        <v>77840.725937707379</v>
      </c>
      <c r="G54" s="512">
        <f t="shared" si="10"/>
        <v>25020.391236923286</v>
      </c>
      <c r="H54" s="478">
        <f t="shared" si="11"/>
        <v>25020.391236923286</v>
      </c>
      <c r="I54" s="501">
        <f t="shared" si="13"/>
        <v>0</v>
      </c>
      <c r="J54" s="501"/>
      <c r="K54" s="513"/>
      <c r="L54" s="505">
        <f t="shared" si="14"/>
        <v>0</v>
      </c>
      <c r="M54" s="513"/>
      <c r="N54" s="505">
        <f t="shared" si="15"/>
        <v>0</v>
      </c>
      <c r="O54" s="505">
        <f t="shared" si="16"/>
        <v>0</v>
      </c>
      <c r="P54" s="279"/>
      <c r="R54" s="244"/>
      <c r="S54" s="244"/>
      <c r="T54" s="244"/>
      <c r="U54" s="244"/>
    </row>
    <row r="55" spans="2:21" ht="12.5">
      <c r="B55" s="145" t="str">
        <f t="shared" si="12"/>
        <v/>
      </c>
      <c r="C55" s="496">
        <f>IF(D11="","-",+C54+1)</f>
        <v>2049</v>
      </c>
      <c r="D55" s="509">
        <f>IF(F54+SUM(E$17:E54)=D$10,F54,D$10-SUM(E$17:E54))</f>
        <v>77840.725937707379</v>
      </c>
      <c r="E55" s="510">
        <f>IF(+I14&lt;F54,I14,D55)</f>
        <v>14993.975609756097</v>
      </c>
      <c r="F55" s="511">
        <f t="shared" si="17"/>
        <v>62846.750327951282</v>
      </c>
      <c r="G55" s="512">
        <f t="shared" si="10"/>
        <v>23258.733644120897</v>
      </c>
      <c r="H55" s="478">
        <f t="shared" si="11"/>
        <v>23258.733644120897</v>
      </c>
      <c r="I55" s="501">
        <f t="shared" si="13"/>
        <v>0</v>
      </c>
      <c r="J55" s="501"/>
      <c r="K55" s="513"/>
      <c r="L55" s="505">
        <f t="shared" si="14"/>
        <v>0</v>
      </c>
      <c r="M55" s="513"/>
      <c r="N55" s="505">
        <f t="shared" si="15"/>
        <v>0</v>
      </c>
      <c r="O55" s="505">
        <f t="shared" si="16"/>
        <v>0</v>
      </c>
      <c r="P55" s="279"/>
      <c r="R55" s="244"/>
      <c r="S55" s="244"/>
      <c r="T55" s="244"/>
      <c r="U55" s="244"/>
    </row>
    <row r="56" spans="2:21" ht="12.5">
      <c r="B56" s="145" t="str">
        <f t="shared" si="12"/>
        <v/>
      </c>
      <c r="C56" s="496">
        <f>IF(D11="","-",+C55+1)</f>
        <v>2050</v>
      </c>
      <c r="D56" s="509">
        <f>IF(F55+SUM(E$17:E55)=D$10,F55,D$10-SUM(E$17:E55))</f>
        <v>62846.750327951282</v>
      </c>
      <c r="E56" s="510">
        <f>IF(+I14&lt;F55,I14,D56)</f>
        <v>14993.975609756097</v>
      </c>
      <c r="F56" s="511">
        <f t="shared" si="17"/>
        <v>47852.774718195185</v>
      </c>
      <c r="G56" s="512">
        <f t="shared" si="10"/>
        <v>21497.076051318512</v>
      </c>
      <c r="H56" s="478">
        <f t="shared" si="11"/>
        <v>21497.076051318512</v>
      </c>
      <c r="I56" s="501">
        <f t="shared" si="13"/>
        <v>0</v>
      </c>
      <c r="J56" s="501"/>
      <c r="K56" s="513"/>
      <c r="L56" s="505">
        <f t="shared" si="14"/>
        <v>0</v>
      </c>
      <c r="M56" s="513"/>
      <c r="N56" s="505">
        <f t="shared" si="15"/>
        <v>0</v>
      </c>
      <c r="O56" s="505">
        <f t="shared" si="16"/>
        <v>0</v>
      </c>
      <c r="P56" s="279"/>
      <c r="R56" s="244"/>
      <c r="S56" s="244"/>
      <c r="T56" s="244"/>
      <c r="U56" s="244"/>
    </row>
    <row r="57" spans="2:21" ht="12.5">
      <c r="B57" s="145" t="str">
        <f t="shared" si="12"/>
        <v/>
      </c>
      <c r="C57" s="496">
        <f>IF(D11="","-",+C56+1)</f>
        <v>2051</v>
      </c>
      <c r="D57" s="509">
        <f>IF(F56+SUM(E$17:E56)=D$10,F56,D$10-SUM(E$17:E56))</f>
        <v>47852.774718195185</v>
      </c>
      <c r="E57" s="510">
        <f>IF(+I14&lt;F56,I14,D57)</f>
        <v>14993.975609756097</v>
      </c>
      <c r="F57" s="511">
        <f t="shared" si="17"/>
        <v>32858.799108439089</v>
      </c>
      <c r="G57" s="512">
        <f t="shared" si="10"/>
        <v>19735.418458516124</v>
      </c>
      <c r="H57" s="478">
        <f t="shared" si="11"/>
        <v>19735.418458516124</v>
      </c>
      <c r="I57" s="501">
        <f t="shared" si="13"/>
        <v>0</v>
      </c>
      <c r="J57" s="501"/>
      <c r="K57" s="513"/>
      <c r="L57" s="505">
        <f t="shared" si="14"/>
        <v>0</v>
      </c>
      <c r="M57" s="513"/>
      <c r="N57" s="505">
        <f t="shared" si="15"/>
        <v>0</v>
      </c>
      <c r="O57" s="505">
        <f t="shared" si="16"/>
        <v>0</v>
      </c>
      <c r="P57" s="279"/>
      <c r="R57" s="244"/>
      <c r="S57" s="244"/>
      <c r="T57" s="244"/>
      <c r="U57" s="244"/>
    </row>
    <row r="58" spans="2:21" ht="12.5">
      <c r="B58" s="145" t="str">
        <f t="shared" si="12"/>
        <v/>
      </c>
      <c r="C58" s="496">
        <f>IF(D11="","-",+C57+1)</f>
        <v>2052</v>
      </c>
      <c r="D58" s="509">
        <f>IF(F57+SUM(E$17:E57)=D$10,F57,D$10-SUM(E$17:E57))</f>
        <v>32858.799108439089</v>
      </c>
      <c r="E58" s="510">
        <f>IF(+I14&lt;F57,I14,D58)</f>
        <v>14993.975609756097</v>
      </c>
      <c r="F58" s="511">
        <f t="shared" si="17"/>
        <v>17864.823498682992</v>
      </c>
      <c r="G58" s="512">
        <f t="shared" si="10"/>
        <v>17973.760865713739</v>
      </c>
      <c r="H58" s="478">
        <f t="shared" si="11"/>
        <v>17973.760865713739</v>
      </c>
      <c r="I58" s="501">
        <f t="shared" si="13"/>
        <v>0</v>
      </c>
      <c r="J58" s="501"/>
      <c r="K58" s="513"/>
      <c r="L58" s="505">
        <f t="shared" si="14"/>
        <v>0</v>
      </c>
      <c r="M58" s="513"/>
      <c r="N58" s="505">
        <f t="shared" si="15"/>
        <v>0</v>
      </c>
      <c r="O58" s="505">
        <f t="shared" si="16"/>
        <v>0</v>
      </c>
      <c r="P58" s="279"/>
      <c r="R58" s="244"/>
      <c r="S58" s="244"/>
      <c r="T58" s="244"/>
      <c r="U58" s="244"/>
    </row>
    <row r="59" spans="2:21" ht="12.5">
      <c r="B59" s="145" t="str">
        <f t="shared" si="12"/>
        <v/>
      </c>
      <c r="C59" s="496">
        <f>IF(D11="","-",+C58+1)</f>
        <v>2053</v>
      </c>
      <c r="D59" s="509">
        <f>IF(F58+SUM(E$17:E58)=D$10,F58,D$10-SUM(E$17:E58))</f>
        <v>17864.823498682992</v>
      </c>
      <c r="E59" s="510">
        <f>IF(+I14&lt;F58,I14,D59)</f>
        <v>14993.975609756097</v>
      </c>
      <c r="F59" s="511">
        <f t="shared" si="17"/>
        <v>2870.8478889268954</v>
      </c>
      <c r="G59" s="512">
        <f t="shared" si="10"/>
        <v>16212.103272911352</v>
      </c>
      <c r="H59" s="478">
        <f t="shared" si="11"/>
        <v>16212.103272911352</v>
      </c>
      <c r="I59" s="501">
        <f t="shared" si="13"/>
        <v>0</v>
      </c>
      <c r="J59" s="501"/>
      <c r="K59" s="513"/>
      <c r="L59" s="505">
        <f t="shared" si="14"/>
        <v>0</v>
      </c>
      <c r="M59" s="513"/>
      <c r="N59" s="505">
        <f t="shared" si="15"/>
        <v>0</v>
      </c>
      <c r="O59" s="505">
        <f t="shared" si="16"/>
        <v>0</v>
      </c>
      <c r="P59" s="279"/>
      <c r="R59" s="244"/>
      <c r="S59" s="244"/>
      <c r="T59" s="244"/>
      <c r="U59" s="244"/>
    </row>
    <row r="60" spans="2:21" ht="12.5">
      <c r="B60" s="145" t="str">
        <f t="shared" si="12"/>
        <v/>
      </c>
      <c r="C60" s="496">
        <f>IF(D11="","-",+C59+1)</f>
        <v>2054</v>
      </c>
      <c r="D60" s="509">
        <f>IF(F59+SUM(E$17:E59)=D$10,F59,D$10-SUM(E$17:E59))</f>
        <v>2870.8478889268954</v>
      </c>
      <c r="E60" s="510">
        <f>IF(+I14&lt;F59,I14,D60)</f>
        <v>2870.8478889268954</v>
      </c>
      <c r="F60" s="511">
        <f t="shared" si="17"/>
        <v>0</v>
      </c>
      <c r="G60" s="512">
        <f t="shared" si="10"/>
        <v>3039.497322303926</v>
      </c>
      <c r="H60" s="478">
        <f t="shared" si="11"/>
        <v>3039.497322303926</v>
      </c>
      <c r="I60" s="501">
        <f t="shared" si="13"/>
        <v>0</v>
      </c>
      <c r="J60" s="501"/>
      <c r="K60" s="513"/>
      <c r="L60" s="505">
        <f t="shared" si="14"/>
        <v>0</v>
      </c>
      <c r="M60" s="513"/>
      <c r="N60" s="505">
        <f t="shared" si="15"/>
        <v>0</v>
      </c>
      <c r="O60" s="505">
        <f t="shared" si="16"/>
        <v>0</v>
      </c>
      <c r="P60" s="279"/>
      <c r="R60" s="244"/>
      <c r="S60" s="244"/>
      <c r="T60" s="244"/>
      <c r="U60" s="244"/>
    </row>
    <row r="61" spans="2:21" ht="12.5">
      <c r="B61" s="145" t="str">
        <f t="shared" si="12"/>
        <v/>
      </c>
      <c r="C61" s="496">
        <f>IF(D11="","-",+C60+1)</f>
        <v>2055</v>
      </c>
      <c r="D61" s="509">
        <f>IF(F60+SUM(E$17:E60)=D$10,F60,D$10-SUM(E$17:E60))</f>
        <v>0</v>
      </c>
      <c r="E61" s="510">
        <f>IF(+I14&lt;F60,I14,D61)</f>
        <v>0</v>
      </c>
      <c r="F61" s="511">
        <f t="shared" si="17"/>
        <v>0</v>
      </c>
      <c r="G61" s="512">
        <f t="shared" si="10"/>
        <v>0</v>
      </c>
      <c r="H61" s="478">
        <f t="shared" si="11"/>
        <v>0</v>
      </c>
      <c r="I61" s="501">
        <f t="shared" si="13"/>
        <v>0</v>
      </c>
      <c r="J61" s="501"/>
      <c r="K61" s="513"/>
      <c r="L61" s="505">
        <f t="shared" si="14"/>
        <v>0</v>
      </c>
      <c r="M61" s="513"/>
      <c r="N61" s="505">
        <f t="shared" si="15"/>
        <v>0</v>
      </c>
      <c r="O61" s="505">
        <f t="shared" si="16"/>
        <v>0</v>
      </c>
      <c r="P61" s="279"/>
      <c r="R61" s="244"/>
      <c r="S61" s="244"/>
      <c r="T61" s="244"/>
      <c r="U61" s="244"/>
    </row>
    <row r="62" spans="2:21" ht="12.5">
      <c r="B62" s="145" t="str">
        <f t="shared" si="12"/>
        <v/>
      </c>
      <c r="C62" s="496">
        <f>IF(D11="","-",+C61+1)</f>
        <v>2056</v>
      </c>
      <c r="D62" s="509">
        <f>IF(F61+SUM(E$17:E61)=D$10,F61,D$10-SUM(E$17:E61))</f>
        <v>0</v>
      </c>
      <c r="E62" s="510">
        <f>IF(+I14&lt;F61,I14,D62)</f>
        <v>0</v>
      </c>
      <c r="F62" s="511">
        <f t="shared" si="17"/>
        <v>0</v>
      </c>
      <c r="G62" s="524">
        <f t="shared" si="10"/>
        <v>0</v>
      </c>
      <c r="H62" s="478">
        <f t="shared" si="11"/>
        <v>0</v>
      </c>
      <c r="I62" s="501">
        <f t="shared" si="13"/>
        <v>0</v>
      </c>
      <c r="J62" s="501"/>
      <c r="K62" s="513"/>
      <c r="L62" s="505">
        <f t="shared" si="14"/>
        <v>0</v>
      </c>
      <c r="M62" s="513"/>
      <c r="N62" s="505">
        <f t="shared" si="15"/>
        <v>0</v>
      </c>
      <c r="O62" s="505">
        <f t="shared" si="16"/>
        <v>0</v>
      </c>
      <c r="P62" s="279"/>
      <c r="R62" s="244"/>
      <c r="S62" s="244"/>
      <c r="T62" s="244"/>
      <c r="U62" s="244"/>
    </row>
    <row r="63" spans="2:21" ht="12.5">
      <c r="B63" s="145" t="str">
        <f t="shared" si="12"/>
        <v/>
      </c>
      <c r="C63" s="496">
        <f>IF(D11="","-",+C62+1)</f>
        <v>2057</v>
      </c>
      <c r="D63" s="509">
        <f>IF(F62+SUM(E$17:E62)=D$10,F62,D$10-SUM(E$17:E62))</f>
        <v>0</v>
      </c>
      <c r="E63" s="510">
        <f>IF(+I14&lt;F62,I14,D63)</f>
        <v>0</v>
      </c>
      <c r="F63" s="511">
        <f t="shared" si="17"/>
        <v>0</v>
      </c>
      <c r="G63" s="524">
        <f t="shared" si="10"/>
        <v>0</v>
      </c>
      <c r="H63" s="478">
        <f t="shared" si="11"/>
        <v>0</v>
      </c>
      <c r="I63" s="501">
        <f t="shared" si="13"/>
        <v>0</v>
      </c>
      <c r="J63" s="501"/>
      <c r="K63" s="513"/>
      <c r="L63" s="505">
        <f t="shared" si="14"/>
        <v>0</v>
      </c>
      <c r="M63" s="513"/>
      <c r="N63" s="505">
        <f t="shared" si="15"/>
        <v>0</v>
      </c>
      <c r="O63" s="505">
        <f t="shared" si="16"/>
        <v>0</v>
      </c>
      <c r="P63" s="279"/>
      <c r="R63" s="244"/>
      <c r="S63" s="244"/>
      <c r="T63" s="244"/>
      <c r="U63" s="244"/>
    </row>
    <row r="64" spans="2:21" ht="12.5">
      <c r="B64" s="145" t="str">
        <f t="shared" si="12"/>
        <v/>
      </c>
      <c r="C64" s="496">
        <f>IF(D11="","-",+C63+1)</f>
        <v>2058</v>
      </c>
      <c r="D64" s="509">
        <f>IF(F63+SUM(E$17:E63)=D$10,F63,D$10-SUM(E$17:E63))</f>
        <v>0</v>
      </c>
      <c r="E64" s="510">
        <f>IF(+I14&lt;F63,I14,D64)</f>
        <v>0</v>
      </c>
      <c r="F64" s="511">
        <f t="shared" si="17"/>
        <v>0</v>
      </c>
      <c r="G64" s="524">
        <f t="shared" si="10"/>
        <v>0</v>
      </c>
      <c r="H64" s="478">
        <f t="shared" si="11"/>
        <v>0</v>
      </c>
      <c r="I64" s="501">
        <f t="shared" si="13"/>
        <v>0</v>
      </c>
      <c r="J64" s="501"/>
      <c r="K64" s="513"/>
      <c r="L64" s="505">
        <f t="shared" si="14"/>
        <v>0</v>
      </c>
      <c r="M64" s="513"/>
      <c r="N64" s="505">
        <f t="shared" si="15"/>
        <v>0</v>
      </c>
      <c r="O64" s="505">
        <f t="shared" si="16"/>
        <v>0</v>
      </c>
      <c r="P64" s="279"/>
      <c r="R64" s="244"/>
      <c r="S64" s="244"/>
      <c r="T64" s="244"/>
      <c r="U64" s="244"/>
    </row>
    <row r="65" spans="2:21" ht="12.5">
      <c r="B65" s="145" t="str">
        <f t="shared" si="12"/>
        <v/>
      </c>
      <c r="C65" s="496">
        <f>IF(D11="","-",+C64+1)</f>
        <v>2059</v>
      </c>
      <c r="D65" s="509">
        <f>IF(F64+SUM(E$17:E64)=D$10,F64,D$10-SUM(E$17:E64))</f>
        <v>0</v>
      </c>
      <c r="E65" s="510">
        <f>IF(+I14&lt;F64,I14,D65)</f>
        <v>0</v>
      </c>
      <c r="F65" s="511">
        <f t="shared" si="17"/>
        <v>0</v>
      </c>
      <c r="G65" s="524">
        <f t="shared" si="10"/>
        <v>0</v>
      </c>
      <c r="H65" s="478">
        <f t="shared" si="11"/>
        <v>0</v>
      </c>
      <c r="I65" s="501">
        <f t="shared" si="13"/>
        <v>0</v>
      </c>
      <c r="J65" s="501"/>
      <c r="K65" s="513"/>
      <c r="L65" s="505">
        <f t="shared" si="14"/>
        <v>0</v>
      </c>
      <c r="M65" s="513"/>
      <c r="N65" s="505">
        <f t="shared" si="15"/>
        <v>0</v>
      </c>
      <c r="O65" s="505">
        <f t="shared" si="16"/>
        <v>0</v>
      </c>
      <c r="P65" s="279"/>
      <c r="R65" s="244"/>
      <c r="S65" s="244"/>
      <c r="T65" s="244"/>
      <c r="U65" s="244"/>
    </row>
    <row r="66" spans="2:21" ht="12.5">
      <c r="B66" s="145" t="str">
        <f t="shared" si="12"/>
        <v/>
      </c>
      <c r="C66" s="496">
        <f>IF(D11="","-",+C65+1)</f>
        <v>2060</v>
      </c>
      <c r="D66" s="509">
        <f>IF(F65+SUM(E$17:E65)=D$10,F65,D$10-SUM(E$17:E65))</f>
        <v>0</v>
      </c>
      <c r="E66" s="510">
        <f>IF(+I14&lt;F65,I14,D66)</f>
        <v>0</v>
      </c>
      <c r="F66" s="511">
        <f t="shared" si="17"/>
        <v>0</v>
      </c>
      <c r="G66" s="524">
        <f t="shared" si="10"/>
        <v>0</v>
      </c>
      <c r="H66" s="478">
        <f t="shared" si="11"/>
        <v>0</v>
      </c>
      <c r="I66" s="501">
        <f t="shared" si="13"/>
        <v>0</v>
      </c>
      <c r="J66" s="501"/>
      <c r="K66" s="513"/>
      <c r="L66" s="505">
        <f t="shared" si="14"/>
        <v>0</v>
      </c>
      <c r="M66" s="513"/>
      <c r="N66" s="505">
        <f t="shared" si="15"/>
        <v>0</v>
      </c>
      <c r="O66" s="505">
        <f t="shared" si="16"/>
        <v>0</v>
      </c>
      <c r="P66" s="279"/>
      <c r="R66" s="244"/>
      <c r="S66" s="244"/>
      <c r="T66" s="244"/>
      <c r="U66" s="244"/>
    </row>
    <row r="67" spans="2:21" ht="12.5">
      <c r="B67" s="145" t="str">
        <f t="shared" si="12"/>
        <v/>
      </c>
      <c r="C67" s="496">
        <f>IF(D11="","-",+C66+1)</f>
        <v>2061</v>
      </c>
      <c r="D67" s="509">
        <f>IF(F66+SUM(E$17:E66)=D$10,F66,D$10-SUM(E$17:E66))</f>
        <v>0</v>
      </c>
      <c r="E67" s="510">
        <f>IF(+I14&lt;F66,I14,D67)</f>
        <v>0</v>
      </c>
      <c r="F67" s="511">
        <f t="shared" si="17"/>
        <v>0</v>
      </c>
      <c r="G67" s="524">
        <f t="shared" si="10"/>
        <v>0</v>
      </c>
      <c r="H67" s="478">
        <f t="shared" si="11"/>
        <v>0</v>
      </c>
      <c r="I67" s="501">
        <f t="shared" si="13"/>
        <v>0</v>
      </c>
      <c r="J67" s="501"/>
      <c r="K67" s="513"/>
      <c r="L67" s="505">
        <f t="shared" si="14"/>
        <v>0</v>
      </c>
      <c r="M67" s="513"/>
      <c r="N67" s="505">
        <f t="shared" si="15"/>
        <v>0</v>
      </c>
      <c r="O67" s="505">
        <f t="shared" si="16"/>
        <v>0</v>
      </c>
      <c r="P67" s="279"/>
      <c r="R67" s="244"/>
      <c r="S67" s="244"/>
      <c r="T67" s="244"/>
      <c r="U67" s="244"/>
    </row>
    <row r="68" spans="2:21" ht="12.5">
      <c r="B68" s="145" t="str">
        <f t="shared" si="12"/>
        <v/>
      </c>
      <c r="C68" s="496">
        <f>IF(D11="","-",+C67+1)</f>
        <v>2062</v>
      </c>
      <c r="D68" s="509">
        <f>IF(F67+SUM(E$17:E67)=D$10,F67,D$10-SUM(E$17:E67))</f>
        <v>0</v>
      </c>
      <c r="E68" s="510">
        <f>IF(+I14&lt;F67,I14,D68)</f>
        <v>0</v>
      </c>
      <c r="F68" s="511">
        <f t="shared" si="17"/>
        <v>0</v>
      </c>
      <c r="G68" s="524">
        <f t="shared" si="10"/>
        <v>0</v>
      </c>
      <c r="H68" s="478">
        <f t="shared" si="11"/>
        <v>0</v>
      </c>
      <c r="I68" s="501">
        <f t="shared" si="13"/>
        <v>0</v>
      </c>
      <c r="J68" s="501"/>
      <c r="K68" s="513"/>
      <c r="L68" s="505">
        <f t="shared" si="14"/>
        <v>0</v>
      </c>
      <c r="M68" s="513"/>
      <c r="N68" s="505">
        <f t="shared" si="15"/>
        <v>0</v>
      </c>
      <c r="O68" s="505">
        <f t="shared" si="16"/>
        <v>0</v>
      </c>
      <c r="P68" s="279"/>
      <c r="R68" s="244"/>
      <c r="S68" s="244"/>
      <c r="T68" s="244"/>
      <c r="U68" s="244"/>
    </row>
    <row r="69" spans="2:21" ht="12.5">
      <c r="B69" s="145" t="str">
        <f t="shared" si="12"/>
        <v/>
      </c>
      <c r="C69" s="496">
        <f>IF(D11="","-",+C68+1)</f>
        <v>2063</v>
      </c>
      <c r="D69" s="509">
        <f>IF(F68+SUM(E$17:E68)=D$10,F68,D$10-SUM(E$17:E68))</f>
        <v>0</v>
      </c>
      <c r="E69" s="510">
        <f>IF(+I14&lt;F68,I14,D69)</f>
        <v>0</v>
      </c>
      <c r="F69" s="511">
        <f t="shared" si="17"/>
        <v>0</v>
      </c>
      <c r="G69" s="524">
        <f t="shared" si="10"/>
        <v>0</v>
      </c>
      <c r="H69" s="478">
        <f t="shared" si="11"/>
        <v>0</v>
      </c>
      <c r="I69" s="501">
        <f t="shared" si="13"/>
        <v>0</v>
      </c>
      <c r="J69" s="501"/>
      <c r="K69" s="513"/>
      <c r="L69" s="505">
        <f t="shared" si="14"/>
        <v>0</v>
      </c>
      <c r="M69" s="513"/>
      <c r="N69" s="505">
        <f t="shared" si="15"/>
        <v>0</v>
      </c>
      <c r="O69" s="505">
        <f t="shared" si="16"/>
        <v>0</v>
      </c>
      <c r="P69" s="279"/>
      <c r="R69" s="244"/>
      <c r="S69" s="244"/>
      <c r="T69" s="244"/>
      <c r="U69" s="244"/>
    </row>
    <row r="70" spans="2:21" ht="12.5">
      <c r="B70" s="145" t="str">
        <f t="shared" si="12"/>
        <v/>
      </c>
      <c r="C70" s="496">
        <f>IF(D11="","-",+C69+1)</f>
        <v>2064</v>
      </c>
      <c r="D70" s="509">
        <f>IF(F69+SUM(E$17:E69)=D$10,F69,D$10-SUM(E$17:E69))</f>
        <v>0</v>
      </c>
      <c r="E70" s="510">
        <f>IF(+I14&lt;F69,I14,D70)</f>
        <v>0</v>
      </c>
      <c r="F70" s="511">
        <f t="shared" si="17"/>
        <v>0</v>
      </c>
      <c r="G70" s="524">
        <f t="shared" si="10"/>
        <v>0</v>
      </c>
      <c r="H70" s="478">
        <f t="shared" si="11"/>
        <v>0</v>
      </c>
      <c r="I70" s="501">
        <f t="shared" si="13"/>
        <v>0</v>
      </c>
      <c r="J70" s="501"/>
      <c r="K70" s="513"/>
      <c r="L70" s="505">
        <f t="shared" si="14"/>
        <v>0</v>
      </c>
      <c r="M70" s="513"/>
      <c r="N70" s="505">
        <f t="shared" si="15"/>
        <v>0</v>
      </c>
      <c r="O70" s="505">
        <f t="shared" si="16"/>
        <v>0</v>
      </c>
      <c r="P70" s="279"/>
      <c r="R70" s="244"/>
      <c r="S70" s="244"/>
      <c r="T70" s="244"/>
      <c r="U70" s="244"/>
    </row>
    <row r="71" spans="2:21" ht="12.5">
      <c r="B71" s="145" t="str">
        <f t="shared" si="12"/>
        <v/>
      </c>
      <c r="C71" s="496">
        <f>IF(D11="","-",+C70+1)</f>
        <v>2065</v>
      </c>
      <c r="D71" s="509">
        <f>IF(F70+SUM(E$17:E70)=D$10,F70,D$10-SUM(E$17:E70))</f>
        <v>0</v>
      </c>
      <c r="E71" s="510">
        <f>IF(+I14&lt;F70,I14,D71)</f>
        <v>0</v>
      </c>
      <c r="F71" s="511">
        <f t="shared" si="17"/>
        <v>0</v>
      </c>
      <c r="G71" s="524">
        <f t="shared" si="10"/>
        <v>0</v>
      </c>
      <c r="H71" s="478">
        <f t="shared" si="11"/>
        <v>0</v>
      </c>
      <c r="I71" s="501">
        <f t="shared" si="13"/>
        <v>0</v>
      </c>
      <c r="J71" s="501"/>
      <c r="K71" s="513"/>
      <c r="L71" s="505">
        <f t="shared" si="14"/>
        <v>0</v>
      </c>
      <c r="M71" s="513"/>
      <c r="N71" s="505">
        <f t="shared" si="15"/>
        <v>0</v>
      </c>
      <c r="O71" s="505">
        <f t="shared" si="16"/>
        <v>0</v>
      </c>
      <c r="P71" s="279"/>
      <c r="R71" s="244"/>
      <c r="S71" s="244"/>
      <c r="T71" s="244"/>
      <c r="U71" s="244"/>
    </row>
    <row r="72" spans="2:21" ht="12.5">
      <c r="B72" s="145" t="str">
        <f t="shared" si="12"/>
        <v/>
      </c>
      <c r="C72" s="496">
        <f>IF(D11="","-",+C71+1)</f>
        <v>2066</v>
      </c>
      <c r="D72" s="509">
        <f>IF(F71+SUM(E$17:E71)=D$10,F71,D$10-SUM(E$17:E71))</f>
        <v>0</v>
      </c>
      <c r="E72" s="510">
        <f>IF(+I14&lt;F71,I14,D72)</f>
        <v>0</v>
      </c>
      <c r="F72" s="511">
        <f t="shared" si="17"/>
        <v>0</v>
      </c>
      <c r="G72" s="524">
        <f t="shared" si="10"/>
        <v>0</v>
      </c>
      <c r="H72" s="478">
        <f t="shared" si="11"/>
        <v>0</v>
      </c>
      <c r="I72" s="501">
        <f t="shared" si="13"/>
        <v>0</v>
      </c>
      <c r="J72" s="501"/>
      <c r="K72" s="513"/>
      <c r="L72" s="505">
        <f t="shared" si="14"/>
        <v>0</v>
      </c>
      <c r="M72" s="513"/>
      <c r="N72" s="505">
        <f t="shared" si="15"/>
        <v>0</v>
      </c>
      <c r="O72" s="505">
        <f t="shared" si="16"/>
        <v>0</v>
      </c>
      <c r="P72" s="279"/>
      <c r="R72" s="244"/>
      <c r="S72" s="244"/>
      <c r="T72" s="244"/>
      <c r="U72" s="244"/>
    </row>
    <row r="73" spans="2:21" ht="13" thickBot="1">
      <c r="B73" s="145" t="str">
        <f t="shared" si="12"/>
        <v/>
      </c>
      <c r="C73" s="525">
        <f>IF(D11="","-",+C72+1)</f>
        <v>2067</v>
      </c>
      <c r="D73" s="526">
        <f>IF(F72+SUM(E$17:E72)=D$10,F72,D$10-SUM(E$17:E72))</f>
        <v>0</v>
      </c>
      <c r="E73" s="527">
        <f>IF(+I14&lt;F72,I14,D73)</f>
        <v>0</v>
      </c>
      <c r="F73" s="528">
        <f t="shared" si="17"/>
        <v>0</v>
      </c>
      <c r="G73" s="529">
        <f t="shared" si="10"/>
        <v>0</v>
      </c>
      <c r="H73" s="459">
        <f t="shared" si="11"/>
        <v>0</v>
      </c>
      <c r="I73" s="530">
        <f t="shared" si="13"/>
        <v>0</v>
      </c>
      <c r="J73" s="501"/>
      <c r="K73" s="531"/>
      <c r="L73" s="532">
        <f t="shared" si="14"/>
        <v>0</v>
      </c>
      <c r="M73" s="531"/>
      <c r="N73" s="532">
        <f t="shared" si="15"/>
        <v>0</v>
      </c>
      <c r="O73" s="532">
        <f t="shared" si="16"/>
        <v>0</v>
      </c>
      <c r="P73" s="279"/>
      <c r="R73" s="244"/>
      <c r="S73" s="244"/>
      <c r="T73" s="244"/>
      <c r="U73" s="244"/>
    </row>
    <row r="74" spans="2:21" ht="12.5">
      <c r="C74" s="350" t="s">
        <v>75</v>
      </c>
      <c r="D74" s="295"/>
      <c r="E74" s="295">
        <f>SUM(E17:E73)</f>
        <v>614752.99999999965</v>
      </c>
      <c r="F74" s="295"/>
      <c r="G74" s="295">
        <f>SUM(G17:G73)</f>
        <v>2277304.727020639</v>
      </c>
      <c r="H74" s="295">
        <f>SUM(H17:H73)</f>
        <v>2277304.727020639</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534" t="str">
        <f ca="1">P1</f>
        <v>OKT Project 3 of 19</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2019</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72464.827452468948</v>
      </c>
      <c r="N88" s="545">
        <f>IF(J93&lt;D11,0,VLOOKUP(J93,C17:O73,11))</f>
        <v>72464.827452468948</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74206.970846532946</v>
      </c>
      <c r="N89" s="549">
        <f>IF(J93&lt;D11,0,VLOOKUP(J93,C100:P155,7))</f>
        <v>74206.970846532946</v>
      </c>
      <c r="O89" s="550">
        <f>+N89-M89</f>
        <v>0</v>
      </c>
      <c r="P89" s="244"/>
      <c r="Q89" s="244"/>
      <c r="R89" s="244"/>
      <c r="S89" s="244"/>
      <c r="T89" s="244"/>
      <c r="U89" s="244"/>
    </row>
    <row r="90" spans="1:21" ht="13.5" thickBot="1">
      <c r="C90" s="455" t="s">
        <v>82</v>
      </c>
      <c r="D90" s="551" t="str">
        <f>+D7</f>
        <v>Tulsa Power Station Reactor</v>
      </c>
      <c r="E90" s="244"/>
      <c r="F90" s="244"/>
      <c r="G90" s="244"/>
      <c r="H90" s="244"/>
      <c r="I90" s="326"/>
      <c r="J90" s="326"/>
      <c r="K90" s="552"/>
      <c r="L90" s="553" t="s">
        <v>135</v>
      </c>
      <c r="M90" s="554">
        <f>+M89-M88</f>
        <v>1742.1433940639981</v>
      </c>
      <c r="N90" s="554">
        <f>+N89-N88</f>
        <v>1742.1433940639981</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TP2009090</v>
      </c>
      <c r="E92" s="559"/>
      <c r="F92" s="559"/>
      <c r="G92" s="559"/>
      <c r="H92" s="559"/>
      <c r="I92" s="559"/>
      <c r="J92" s="559"/>
      <c r="K92" s="561"/>
      <c r="P92" s="469"/>
      <c r="Q92" s="244"/>
      <c r="R92" s="244"/>
      <c r="S92" s="244"/>
      <c r="T92" s="244"/>
      <c r="U92" s="244"/>
    </row>
    <row r="93" spans="1:21" ht="13">
      <c r="C93" s="473" t="s">
        <v>49</v>
      </c>
      <c r="D93" s="471">
        <f>IF(D11=I10,0,D10)</f>
        <v>614753</v>
      </c>
      <c r="E93" s="249" t="s">
        <v>84</v>
      </c>
      <c r="H93" s="409"/>
      <c r="I93" s="409"/>
      <c r="J93" s="472">
        <f>+'OKT.WS.G.BPU.ATRR.True-up'!M16</f>
        <v>2019</v>
      </c>
      <c r="K93" s="468"/>
      <c r="L93" s="295" t="s">
        <v>85</v>
      </c>
      <c r="P93" s="279"/>
      <c r="Q93" s="244"/>
      <c r="R93" s="244"/>
      <c r="S93" s="244"/>
      <c r="T93" s="244"/>
      <c r="U93" s="244"/>
    </row>
    <row r="94" spans="1:21" ht="12.5">
      <c r="C94" s="473" t="s">
        <v>52</v>
      </c>
      <c r="D94" s="562">
        <f>IF(D11=I10,"",D11)</f>
        <v>2011</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62">
        <f>IF(D11=I10,"",D12)</f>
        <v>10</v>
      </c>
      <c r="E95" s="473" t="s">
        <v>55</v>
      </c>
      <c r="F95" s="409"/>
      <c r="G95" s="409"/>
      <c r="J95" s="477">
        <f>'OKT.WS.G.BPU.ATRR.True-up'!$F$81</f>
        <v>0.10800922592579221</v>
      </c>
      <c r="K95" s="414"/>
      <c r="L95" s="145" t="s">
        <v>86</v>
      </c>
      <c r="P95" s="279"/>
      <c r="Q95" s="244"/>
      <c r="R95" s="244"/>
      <c r="S95" s="244"/>
      <c r="T95" s="244"/>
      <c r="U95" s="244"/>
    </row>
    <row r="96" spans="1:21" ht="12.5">
      <c r="C96" s="473" t="s">
        <v>57</v>
      </c>
      <c r="D96" s="475">
        <f>'OKT.WS.G.BPU.ATRR.True-up'!F$93</f>
        <v>33</v>
      </c>
      <c r="E96" s="473" t="s">
        <v>58</v>
      </c>
      <c r="F96" s="409"/>
      <c r="G96" s="409"/>
      <c r="J96" s="477">
        <f>IF(H88="",J95,'OKT.WS.G.BPU.ATRR.True-up'!$F$80)</f>
        <v>0.10800922592579221</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18628.878787878788</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B100" s="145" t="str">
        <f t="shared" ref="B100:B131" si="18">IF(D100=F99,"","IU")</f>
        <v>IU</v>
      </c>
      <c r="C100" s="496">
        <f>IF(D94= "","-",D94)</f>
        <v>2011</v>
      </c>
      <c r="D100" s="497">
        <v>0</v>
      </c>
      <c r="E100" s="499">
        <v>1766.3534482758621</v>
      </c>
      <c r="F100" s="506">
        <v>612924.64655172417</v>
      </c>
      <c r="G100" s="572">
        <v>306462.32327586209</v>
      </c>
      <c r="H100" s="572">
        <v>24552.570276961298</v>
      </c>
      <c r="I100" s="572">
        <v>24552.570276961298</v>
      </c>
      <c r="J100" s="505">
        <v>0</v>
      </c>
      <c r="K100" s="505"/>
      <c r="L100" s="588">
        <f t="shared" ref="L100:L105" si="19">H100</f>
        <v>24552.570276961298</v>
      </c>
      <c r="M100" s="589">
        <f t="shared" ref="M100:M131" si="20">IF(L100&lt;&gt;0,+H100-L100,0)</f>
        <v>0</v>
      </c>
      <c r="N100" s="507">
        <f t="shared" ref="N100:N105" si="21">I100</f>
        <v>24552.570276961298</v>
      </c>
      <c r="O100" s="589">
        <f t="shared" ref="O100:O131" si="22">IF(N100&lt;&gt;0,+I100-N100,0)</f>
        <v>0</v>
      </c>
      <c r="P100" s="504">
        <f t="shared" ref="P100:P131" si="23">+O100-M100</f>
        <v>0</v>
      </c>
      <c r="Q100" s="244"/>
      <c r="R100" s="244"/>
      <c r="S100" s="244"/>
      <c r="T100" s="244"/>
      <c r="U100" s="244"/>
    </row>
    <row r="101" spans="1:21" ht="12.5">
      <c r="B101" s="145" t="str">
        <f t="shared" si="18"/>
        <v>IU</v>
      </c>
      <c r="C101" s="496">
        <f>IF(D94="","-",+C100+1)</f>
        <v>2012</v>
      </c>
      <c r="D101" s="497">
        <v>612986.64655172417</v>
      </c>
      <c r="E101" s="499">
        <v>10599.189655172413</v>
      </c>
      <c r="F101" s="506">
        <v>602387.45689655177</v>
      </c>
      <c r="G101" s="506">
        <v>607687.05172413797</v>
      </c>
      <c r="H101" s="499">
        <v>72187.934734594193</v>
      </c>
      <c r="I101" s="500">
        <v>72187.934734594193</v>
      </c>
      <c r="J101" s="505">
        <v>0</v>
      </c>
      <c r="K101" s="589"/>
      <c r="L101" s="590">
        <f t="shared" si="19"/>
        <v>72187.934734594193</v>
      </c>
      <c r="M101" s="589">
        <f t="shared" ref="M101:M106" si="24">IF(L101&lt;&gt;0,+H101-L101,0)</f>
        <v>0</v>
      </c>
      <c r="N101" s="507">
        <f t="shared" si="21"/>
        <v>72187.934734594193</v>
      </c>
      <c r="O101" s="589">
        <f>IF(N101&lt;&gt;0,+I101-N101,0)</f>
        <v>0</v>
      </c>
      <c r="P101" s="589">
        <f>+O101-M101</f>
        <v>0</v>
      </c>
      <c r="Q101" s="244"/>
      <c r="R101" s="244"/>
      <c r="S101" s="244"/>
      <c r="T101" s="244"/>
      <c r="U101" s="244"/>
    </row>
    <row r="102" spans="1:21" ht="12.5">
      <c r="B102" s="145" t="str">
        <f t="shared" si="18"/>
        <v/>
      </c>
      <c r="C102" s="496">
        <f>IF(D94="","-",+C101+1)</f>
        <v>2013</v>
      </c>
      <c r="D102" s="497">
        <v>602387.45689655177</v>
      </c>
      <c r="E102" s="499">
        <v>10599.189655172413</v>
      </c>
      <c r="F102" s="506">
        <v>591788.26724137936</v>
      </c>
      <c r="G102" s="506">
        <v>597087.86206896557</v>
      </c>
      <c r="H102" s="499">
        <v>78464.169300722831</v>
      </c>
      <c r="I102" s="500">
        <v>78464.169300722831</v>
      </c>
      <c r="J102" s="505">
        <f t="shared" ref="J102:J131" si="25">+I102-H102</f>
        <v>0</v>
      </c>
      <c r="K102" s="589"/>
      <c r="L102" s="590">
        <f t="shared" si="19"/>
        <v>78464.169300722831</v>
      </c>
      <c r="M102" s="589">
        <f t="shared" si="24"/>
        <v>0</v>
      </c>
      <c r="N102" s="507">
        <f t="shared" si="21"/>
        <v>78464.169300722831</v>
      </c>
      <c r="O102" s="589">
        <f>IF(N102&lt;&gt;0,+I102-N102,0)</f>
        <v>0</v>
      </c>
      <c r="P102" s="589">
        <f>+O102-M102</f>
        <v>0</v>
      </c>
      <c r="Q102" s="244"/>
      <c r="R102" s="244"/>
      <c r="S102" s="244"/>
      <c r="T102" s="244"/>
      <c r="U102" s="244"/>
    </row>
    <row r="103" spans="1:21" ht="12.5">
      <c r="B103" s="145" t="str">
        <f t="shared" si="18"/>
        <v/>
      </c>
      <c r="C103" s="496">
        <f>IF(D94="","-",+C102+1)</f>
        <v>2014</v>
      </c>
      <c r="D103" s="497">
        <v>591788.26724137936</v>
      </c>
      <c r="E103" s="499">
        <v>10599.189655172413</v>
      </c>
      <c r="F103" s="506">
        <v>581189.07758620696</v>
      </c>
      <c r="G103" s="506">
        <v>586488.67241379316</v>
      </c>
      <c r="H103" s="499">
        <v>73672.191823391273</v>
      </c>
      <c r="I103" s="500">
        <v>73672.191823391273</v>
      </c>
      <c r="J103" s="505">
        <v>0</v>
      </c>
      <c r="K103" s="505"/>
      <c r="L103" s="590">
        <f t="shared" si="19"/>
        <v>73672.191823391273</v>
      </c>
      <c r="M103" s="589">
        <f t="shared" si="24"/>
        <v>0</v>
      </c>
      <c r="N103" s="507">
        <f t="shared" si="21"/>
        <v>73672.191823391273</v>
      </c>
      <c r="O103" s="589">
        <f>IF(N103&lt;&gt;0,+I103-N103,0)</f>
        <v>0</v>
      </c>
      <c r="P103" s="589">
        <f>+O103-M103</f>
        <v>0</v>
      </c>
      <c r="Q103" s="244"/>
      <c r="R103" s="244"/>
      <c r="S103" s="244"/>
      <c r="T103" s="244"/>
      <c r="U103" s="244"/>
    </row>
    <row r="104" spans="1:21" ht="12.5">
      <c r="B104" s="145" t="str">
        <f t="shared" si="18"/>
        <v/>
      </c>
      <c r="C104" s="496">
        <f>IF(D94="","-",+C103+1)</f>
        <v>2015</v>
      </c>
      <c r="D104" s="497">
        <v>581189.07758620696</v>
      </c>
      <c r="E104" s="499">
        <v>12807.354166666666</v>
      </c>
      <c r="F104" s="506">
        <v>568381.72341954033</v>
      </c>
      <c r="G104" s="506">
        <v>574785.40050287358</v>
      </c>
      <c r="H104" s="499">
        <v>76797.884368158106</v>
      </c>
      <c r="I104" s="500">
        <v>76797.884368158106</v>
      </c>
      <c r="J104" s="505">
        <f t="shared" si="25"/>
        <v>0</v>
      </c>
      <c r="K104" s="505"/>
      <c r="L104" s="590">
        <f t="shared" si="19"/>
        <v>76797.884368158106</v>
      </c>
      <c r="M104" s="589">
        <f t="shared" si="24"/>
        <v>0</v>
      </c>
      <c r="N104" s="507">
        <f t="shared" si="21"/>
        <v>76797.884368158106</v>
      </c>
      <c r="O104" s="589">
        <f t="shared" si="22"/>
        <v>0</v>
      </c>
      <c r="P104" s="589">
        <f t="shared" si="23"/>
        <v>0</v>
      </c>
      <c r="Q104" s="244"/>
      <c r="R104" s="244"/>
      <c r="S104" s="244"/>
      <c r="T104" s="244"/>
      <c r="U104" s="244"/>
    </row>
    <row r="105" spans="1:21" ht="12.5">
      <c r="B105" s="145" t="str">
        <f t="shared" si="18"/>
        <v/>
      </c>
      <c r="C105" s="496">
        <f>IF(D94="","-",+C104+1)</f>
        <v>2016</v>
      </c>
      <c r="D105" s="497">
        <v>568381.72341954033</v>
      </c>
      <c r="E105" s="499">
        <v>12053.980392156862</v>
      </c>
      <c r="F105" s="506">
        <v>556327.74302738346</v>
      </c>
      <c r="G105" s="506">
        <v>562354.7332234619</v>
      </c>
      <c r="H105" s="499">
        <v>72996.058830960712</v>
      </c>
      <c r="I105" s="500">
        <v>72996.058830960712</v>
      </c>
      <c r="J105" s="505">
        <f t="shared" si="25"/>
        <v>0</v>
      </c>
      <c r="K105" s="505"/>
      <c r="L105" s="590">
        <f t="shared" si="19"/>
        <v>72996.058830960712</v>
      </c>
      <c r="M105" s="589">
        <f t="shared" si="24"/>
        <v>0</v>
      </c>
      <c r="N105" s="507">
        <f t="shared" si="21"/>
        <v>72996.058830960712</v>
      </c>
      <c r="O105" s="589">
        <f>IF(N105&lt;&gt;0,+I105-N105,0)</f>
        <v>0</v>
      </c>
      <c r="P105" s="589">
        <f>+O105-M105</f>
        <v>0</v>
      </c>
      <c r="Q105" s="244"/>
      <c r="R105" s="244"/>
      <c r="S105" s="244"/>
      <c r="T105" s="244"/>
      <c r="U105" s="244"/>
    </row>
    <row r="106" spans="1:21" ht="12.5">
      <c r="B106" s="145" t="str">
        <f t="shared" si="18"/>
        <v/>
      </c>
      <c r="C106" s="496">
        <f>IF(D94="","-",+C105+1)</f>
        <v>2017</v>
      </c>
      <c r="D106" s="497">
        <v>556327.74302738346</v>
      </c>
      <c r="E106" s="499">
        <v>15368.825000000001</v>
      </c>
      <c r="F106" s="506">
        <v>540958.91802738351</v>
      </c>
      <c r="G106" s="506">
        <v>548643.33052738348</v>
      </c>
      <c r="H106" s="499">
        <v>79744.364331325967</v>
      </c>
      <c r="I106" s="500">
        <v>79744.364331325967</v>
      </c>
      <c r="J106" s="505">
        <f t="shared" si="25"/>
        <v>0</v>
      </c>
      <c r="K106" s="505"/>
      <c r="L106" s="590">
        <f>H106</f>
        <v>79744.364331325967</v>
      </c>
      <c r="M106" s="589">
        <f t="shared" si="24"/>
        <v>0</v>
      </c>
      <c r="N106" s="507">
        <f>I106</f>
        <v>79744.364331325967</v>
      </c>
      <c r="O106" s="589">
        <f>IF(N106&lt;&gt;0,+I106-N106,0)</f>
        <v>0</v>
      </c>
      <c r="P106" s="589">
        <f>+O106-M106</f>
        <v>0</v>
      </c>
      <c r="Q106" s="244"/>
      <c r="R106" s="244"/>
      <c r="S106" s="244"/>
      <c r="T106" s="244"/>
      <c r="U106" s="244"/>
    </row>
    <row r="107" spans="1:21" ht="12.5">
      <c r="B107" s="145" t="str">
        <f t="shared" si="18"/>
        <v/>
      </c>
      <c r="C107" s="496">
        <f>IF(D94="","-",+C106+1)</f>
        <v>2018</v>
      </c>
      <c r="D107" s="497">
        <v>540958.91802738351</v>
      </c>
      <c r="E107" s="499">
        <v>17076.472222222223</v>
      </c>
      <c r="F107" s="506">
        <v>523882.44580516126</v>
      </c>
      <c r="G107" s="506">
        <v>532420.68191627238</v>
      </c>
      <c r="H107" s="499">
        <v>73280.103356307678</v>
      </c>
      <c r="I107" s="500">
        <v>73280.103356307678</v>
      </c>
      <c r="J107" s="505">
        <f t="shared" si="25"/>
        <v>0</v>
      </c>
      <c r="K107" s="505"/>
      <c r="L107" s="590">
        <f>H107</f>
        <v>73280.103356307678</v>
      </c>
      <c r="M107" s="589">
        <f t="shared" ref="M107" si="26">IF(L107&lt;&gt;0,+H107-L107,0)</f>
        <v>0</v>
      </c>
      <c r="N107" s="507">
        <f>I107</f>
        <v>73280.103356307678</v>
      </c>
      <c r="O107" s="589">
        <f>IF(N107&lt;&gt;0,+I107-N107,0)</f>
        <v>0</v>
      </c>
      <c r="P107" s="589">
        <f>+O107-M107</f>
        <v>0</v>
      </c>
      <c r="Q107" s="244"/>
      <c r="R107" s="244"/>
      <c r="S107" s="244"/>
      <c r="T107" s="244"/>
      <c r="U107" s="244"/>
    </row>
    <row r="108" spans="1:21" ht="12.5">
      <c r="B108" s="145" t="str">
        <f t="shared" si="18"/>
        <v/>
      </c>
      <c r="C108" s="496">
        <f>IF(D94="","-",+C107+1)</f>
        <v>2019</v>
      </c>
      <c r="D108" s="350">
        <f>IF(F107+SUM(E$100:E107)=D$93,F107,D$93-SUM(E$100:E107))</f>
        <v>523882.44580516126</v>
      </c>
      <c r="E108" s="510">
        <f>IF(+J97&lt;F107,J97,D108)</f>
        <v>18628.878787878788</v>
      </c>
      <c r="F108" s="511">
        <f t="shared" ref="F108:F132" si="27">+D108-E108</f>
        <v>505253.56701728248</v>
      </c>
      <c r="G108" s="511">
        <f t="shared" ref="G108:G131" si="28">+(F108+D108)/2</f>
        <v>514568.00641122187</v>
      </c>
      <c r="H108" s="524">
        <f t="shared" ref="H108:H131" si="29">+J$95*G108+E108</f>
        <v>74206.970846532946</v>
      </c>
      <c r="I108" s="573">
        <f t="shared" ref="I108:I131" si="30">+J$96*G108+E108</f>
        <v>74206.970846532946</v>
      </c>
      <c r="J108" s="505">
        <f t="shared" si="25"/>
        <v>0</v>
      </c>
      <c r="K108" s="505"/>
      <c r="L108" s="513"/>
      <c r="M108" s="505">
        <f t="shared" si="20"/>
        <v>0</v>
      </c>
      <c r="N108" s="513"/>
      <c r="O108" s="505">
        <f t="shared" si="22"/>
        <v>0</v>
      </c>
      <c r="P108" s="505">
        <f t="shared" si="23"/>
        <v>0</v>
      </c>
      <c r="Q108" s="244"/>
      <c r="R108" s="244"/>
      <c r="S108" s="244"/>
      <c r="T108" s="244"/>
      <c r="U108" s="244"/>
    </row>
    <row r="109" spans="1:21" ht="12.5">
      <c r="B109" s="145" t="str">
        <f t="shared" si="18"/>
        <v/>
      </c>
      <c r="C109" s="496">
        <f>IF(D94="","-",+C108+1)</f>
        <v>2020</v>
      </c>
      <c r="D109" s="350">
        <f>IF(F108+SUM(E$100:E108)=D$93,F108,D$93-SUM(E$100:E108))</f>
        <v>505253.56701728248</v>
      </c>
      <c r="E109" s="510">
        <f>IF(+J97&lt;F108,J97,D109)</f>
        <v>18628.878787878788</v>
      </c>
      <c r="F109" s="511">
        <f t="shared" si="27"/>
        <v>486624.68822940369</v>
      </c>
      <c r="G109" s="511">
        <f t="shared" si="28"/>
        <v>495939.12762334308</v>
      </c>
      <c r="H109" s="524">
        <f t="shared" si="29"/>
        <v>72194.880068788741</v>
      </c>
      <c r="I109" s="573">
        <f t="shared" si="30"/>
        <v>72194.880068788741</v>
      </c>
      <c r="J109" s="505">
        <f t="shared" si="25"/>
        <v>0</v>
      </c>
      <c r="K109" s="505"/>
      <c r="L109" s="513"/>
      <c r="M109" s="505">
        <f t="shared" si="20"/>
        <v>0</v>
      </c>
      <c r="N109" s="513"/>
      <c r="O109" s="505">
        <f t="shared" si="22"/>
        <v>0</v>
      </c>
      <c r="P109" s="505">
        <f t="shared" si="23"/>
        <v>0</v>
      </c>
      <c r="Q109" s="244"/>
      <c r="R109" s="244"/>
      <c r="S109" s="244"/>
      <c r="T109" s="244"/>
      <c r="U109" s="244"/>
    </row>
    <row r="110" spans="1:21" ht="12.5">
      <c r="B110" s="145" t="str">
        <f t="shared" si="18"/>
        <v/>
      </c>
      <c r="C110" s="496">
        <f>IF(D94="","-",+C109+1)</f>
        <v>2021</v>
      </c>
      <c r="D110" s="350">
        <f>IF(F109+SUM(E$100:E109)=D$93,F109,D$93-SUM(E$100:E109))</f>
        <v>486624.68822940369</v>
      </c>
      <c r="E110" s="510">
        <f>IF(+J97&lt;F109,J97,D110)</f>
        <v>18628.878787878788</v>
      </c>
      <c r="F110" s="511">
        <f t="shared" si="27"/>
        <v>467995.80944152491</v>
      </c>
      <c r="G110" s="511">
        <f t="shared" si="28"/>
        <v>477310.2488354643</v>
      </c>
      <c r="H110" s="524">
        <f t="shared" si="29"/>
        <v>70182.789291044552</v>
      </c>
      <c r="I110" s="573">
        <f t="shared" si="30"/>
        <v>70182.789291044552</v>
      </c>
      <c r="J110" s="505">
        <f t="shared" si="25"/>
        <v>0</v>
      </c>
      <c r="K110" s="505"/>
      <c r="L110" s="513"/>
      <c r="M110" s="505">
        <f t="shared" si="20"/>
        <v>0</v>
      </c>
      <c r="N110" s="513"/>
      <c r="O110" s="505">
        <f t="shared" si="22"/>
        <v>0</v>
      </c>
      <c r="P110" s="505">
        <f t="shared" si="23"/>
        <v>0</v>
      </c>
      <c r="Q110" s="244"/>
      <c r="R110" s="244"/>
      <c r="S110" s="244"/>
      <c r="T110" s="244"/>
      <c r="U110" s="244"/>
    </row>
    <row r="111" spans="1:21" ht="12.5">
      <c r="B111" s="145" t="str">
        <f t="shared" si="18"/>
        <v/>
      </c>
      <c r="C111" s="496">
        <f>IF(D94="","-",+C110+1)</f>
        <v>2022</v>
      </c>
      <c r="D111" s="350">
        <f>IF(F110+SUM(E$100:E110)=D$93,F110,D$93-SUM(E$100:E110))</f>
        <v>467995.80944152491</v>
      </c>
      <c r="E111" s="510">
        <f>IF(+J97&lt;F110,J97,D111)</f>
        <v>18628.878787878788</v>
      </c>
      <c r="F111" s="511">
        <f t="shared" si="27"/>
        <v>449366.93065364612</v>
      </c>
      <c r="G111" s="511">
        <f t="shared" si="28"/>
        <v>458681.37004758551</v>
      </c>
      <c r="H111" s="524">
        <f t="shared" si="29"/>
        <v>68170.698513300347</v>
      </c>
      <c r="I111" s="573">
        <f t="shared" si="30"/>
        <v>68170.698513300347</v>
      </c>
      <c r="J111" s="505">
        <f t="shared" si="25"/>
        <v>0</v>
      </c>
      <c r="K111" s="505"/>
      <c r="L111" s="513"/>
      <c r="M111" s="505">
        <f t="shared" si="20"/>
        <v>0</v>
      </c>
      <c r="N111" s="513"/>
      <c r="O111" s="505">
        <f t="shared" si="22"/>
        <v>0</v>
      </c>
      <c r="P111" s="505">
        <f t="shared" si="23"/>
        <v>0</v>
      </c>
      <c r="Q111" s="244"/>
      <c r="R111" s="244"/>
      <c r="S111" s="244"/>
      <c r="T111" s="244"/>
      <c r="U111" s="244"/>
    </row>
    <row r="112" spans="1:21" ht="12.5">
      <c r="B112" s="145" t="str">
        <f t="shared" si="18"/>
        <v/>
      </c>
      <c r="C112" s="496">
        <f>IF(D94="","-",+C111+1)</f>
        <v>2023</v>
      </c>
      <c r="D112" s="350">
        <f>IF(F111+SUM(E$100:E111)=D$93,F111,D$93-SUM(E$100:E111))</f>
        <v>449366.93065364612</v>
      </c>
      <c r="E112" s="510">
        <f>IF(+J97&lt;F111,J97,D112)</f>
        <v>18628.878787878788</v>
      </c>
      <c r="F112" s="511">
        <f t="shared" si="27"/>
        <v>430738.05186576734</v>
      </c>
      <c r="G112" s="511">
        <f t="shared" si="28"/>
        <v>440052.49125970673</v>
      </c>
      <c r="H112" s="524">
        <f t="shared" si="29"/>
        <v>66158.607735556157</v>
      </c>
      <c r="I112" s="573">
        <f t="shared" si="30"/>
        <v>66158.607735556157</v>
      </c>
      <c r="J112" s="505">
        <f t="shared" si="25"/>
        <v>0</v>
      </c>
      <c r="K112" s="505"/>
      <c r="L112" s="513"/>
      <c r="M112" s="505">
        <f t="shared" si="20"/>
        <v>0</v>
      </c>
      <c r="N112" s="513"/>
      <c r="O112" s="505">
        <f t="shared" si="22"/>
        <v>0</v>
      </c>
      <c r="P112" s="505">
        <f t="shared" si="23"/>
        <v>0</v>
      </c>
      <c r="Q112" s="244"/>
      <c r="R112" s="244"/>
      <c r="S112" s="244"/>
      <c r="T112" s="244"/>
      <c r="U112" s="244"/>
    </row>
    <row r="113" spans="2:21" ht="12.5">
      <c r="B113" s="145" t="str">
        <f t="shared" si="18"/>
        <v/>
      </c>
      <c r="C113" s="496">
        <f>IF(D94="","-",+C112+1)</f>
        <v>2024</v>
      </c>
      <c r="D113" s="350">
        <f>IF(F112+SUM(E$100:E112)=D$93,F112,D$93-SUM(E$100:E112))</f>
        <v>430738.05186576734</v>
      </c>
      <c r="E113" s="510">
        <f>IF(+J97&lt;F112,J97,D113)</f>
        <v>18628.878787878788</v>
      </c>
      <c r="F113" s="511">
        <f t="shared" si="27"/>
        <v>412109.17307788855</v>
      </c>
      <c r="G113" s="511">
        <f t="shared" si="28"/>
        <v>421423.61247182795</v>
      </c>
      <c r="H113" s="524">
        <f t="shared" si="29"/>
        <v>64146.516957811953</v>
      </c>
      <c r="I113" s="573">
        <f t="shared" si="30"/>
        <v>64146.516957811953</v>
      </c>
      <c r="J113" s="505">
        <f t="shared" si="25"/>
        <v>0</v>
      </c>
      <c r="K113" s="505"/>
      <c r="L113" s="513"/>
      <c r="M113" s="505">
        <f t="shared" si="20"/>
        <v>0</v>
      </c>
      <c r="N113" s="513"/>
      <c r="O113" s="505">
        <f t="shared" si="22"/>
        <v>0</v>
      </c>
      <c r="P113" s="505">
        <f t="shared" si="23"/>
        <v>0</v>
      </c>
      <c r="Q113" s="244"/>
      <c r="R113" s="244"/>
      <c r="S113" s="244"/>
      <c r="T113" s="244"/>
      <c r="U113" s="244"/>
    </row>
    <row r="114" spans="2:21" ht="12.5">
      <c r="B114" s="145" t="str">
        <f t="shared" si="18"/>
        <v/>
      </c>
      <c r="C114" s="496">
        <f>IF(D94="","-",+C113+1)</f>
        <v>2025</v>
      </c>
      <c r="D114" s="350">
        <f>IF(F113+SUM(E$100:E113)=D$93,F113,D$93-SUM(E$100:E113))</f>
        <v>412109.17307788855</v>
      </c>
      <c r="E114" s="510">
        <f>IF(+J97&lt;F113,J97,D114)</f>
        <v>18628.878787878788</v>
      </c>
      <c r="F114" s="511">
        <f t="shared" si="27"/>
        <v>393480.29429000977</v>
      </c>
      <c r="G114" s="511">
        <f t="shared" si="28"/>
        <v>402794.73368394916</v>
      </c>
      <c r="H114" s="524">
        <f t="shared" si="29"/>
        <v>62134.426180067763</v>
      </c>
      <c r="I114" s="573">
        <f t="shared" si="30"/>
        <v>62134.426180067763</v>
      </c>
      <c r="J114" s="505">
        <f t="shared" si="25"/>
        <v>0</v>
      </c>
      <c r="K114" s="505"/>
      <c r="L114" s="513"/>
      <c r="M114" s="505">
        <f t="shared" si="20"/>
        <v>0</v>
      </c>
      <c r="N114" s="513"/>
      <c r="O114" s="505">
        <f t="shared" si="22"/>
        <v>0</v>
      </c>
      <c r="P114" s="505">
        <f t="shared" si="23"/>
        <v>0</v>
      </c>
      <c r="Q114" s="244"/>
      <c r="R114" s="244"/>
      <c r="S114" s="244"/>
      <c r="T114" s="244"/>
      <c r="U114" s="244"/>
    </row>
    <row r="115" spans="2:21" ht="12.5">
      <c r="B115" s="145" t="str">
        <f t="shared" si="18"/>
        <v/>
      </c>
      <c r="C115" s="496">
        <f>IF(D94="","-",+C114+1)</f>
        <v>2026</v>
      </c>
      <c r="D115" s="350">
        <f>IF(F114+SUM(E$100:E114)=D$93,F114,D$93-SUM(E$100:E114))</f>
        <v>393480.29429000977</v>
      </c>
      <c r="E115" s="510">
        <f>IF(+J97&lt;F114,J97,D115)</f>
        <v>18628.878787878788</v>
      </c>
      <c r="F115" s="511">
        <f t="shared" si="27"/>
        <v>374851.41550213099</v>
      </c>
      <c r="G115" s="511">
        <f t="shared" si="28"/>
        <v>384165.85489607038</v>
      </c>
      <c r="H115" s="524">
        <f t="shared" si="29"/>
        <v>60122.335402323559</v>
      </c>
      <c r="I115" s="573">
        <f t="shared" si="30"/>
        <v>60122.335402323559</v>
      </c>
      <c r="J115" s="505">
        <f t="shared" si="25"/>
        <v>0</v>
      </c>
      <c r="K115" s="505"/>
      <c r="L115" s="513"/>
      <c r="M115" s="505">
        <f t="shared" si="20"/>
        <v>0</v>
      </c>
      <c r="N115" s="513"/>
      <c r="O115" s="505">
        <f t="shared" si="22"/>
        <v>0</v>
      </c>
      <c r="P115" s="505">
        <f t="shared" si="23"/>
        <v>0</v>
      </c>
      <c r="Q115" s="244"/>
      <c r="R115" s="244"/>
      <c r="S115" s="244"/>
      <c r="T115" s="244"/>
      <c r="U115" s="244"/>
    </row>
    <row r="116" spans="2:21" ht="12.5">
      <c r="B116" s="145" t="str">
        <f t="shared" si="18"/>
        <v/>
      </c>
      <c r="C116" s="496">
        <f>IF(D94="","-",+C115+1)</f>
        <v>2027</v>
      </c>
      <c r="D116" s="350">
        <f>IF(F115+SUM(E$100:E115)=D$93,F115,D$93-SUM(E$100:E115))</f>
        <v>374851.41550213099</v>
      </c>
      <c r="E116" s="510">
        <f>IF(+J97&lt;F115,J97,D116)</f>
        <v>18628.878787878788</v>
      </c>
      <c r="F116" s="511">
        <f t="shared" si="27"/>
        <v>356222.5367142522</v>
      </c>
      <c r="G116" s="511">
        <f t="shared" si="28"/>
        <v>365536.97610819159</v>
      </c>
      <c r="H116" s="524">
        <f t="shared" si="29"/>
        <v>58110.244624579369</v>
      </c>
      <c r="I116" s="573">
        <f t="shared" si="30"/>
        <v>58110.244624579369</v>
      </c>
      <c r="J116" s="505">
        <f t="shared" si="25"/>
        <v>0</v>
      </c>
      <c r="K116" s="505"/>
      <c r="L116" s="513"/>
      <c r="M116" s="505">
        <f t="shared" si="20"/>
        <v>0</v>
      </c>
      <c r="N116" s="513"/>
      <c r="O116" s="505">
        <f t="shared" si="22"/>
        <v>0</v>
      </c>
      <c r="P116" s="505">
        <f t="shared" si="23"/>
        <v>0</v>
      </c>
      <c r="Q116" s="244"/>
      <c r="R116" s="244"/>
      <c r="S116" s="244"/>
      <c r="T116" s="244"/>
      <c r="U116" s="244"/>
    </row>
    <row r="117" spans="2:21" ht="12.5">
      <c r="B117" s="145" t="str">
        <f t="shared" si="18"/>
        <v/>
      </c>
      <c r="C117" s="496">
        <f>IF(D94="","-",+C116+1)</f>
        <v>2028</v>
      </c>
      <c r="D117" s="350">
        <f>IF(F116+SUM(E$100:E116)=D$93,F116,D$93-SUM(E$100:E116))</f>
        <v>356222.5367142522</v>
      </c>
      <c r="E117" s="510">
        <f>IF(+J97&lt;F116,J97,D117)</f>
        <v>18628.878787878788</v>
      </c>
      <c r="F117" s="511">
        <f t="shared" si="27"/>
        <v>337593.65792637342</v>
      </c>
      <c r="G117" s="511">
        <f t="shared" si="28"/>
        <v>346908.09732031281</v>
      </c>
      <c r="H117" s="524">
        <f t="shared" si="29"/>
        <v>56098.153846835165</v>
      </c>
      <c r="I117" s="573">
        <f t="shared" si="30"/>
        <v>56098.153846835165</v>
      </c>
      <c r="J117" s="505">
        <f t="shared" si="25"/>
        <v>0</v>
      </c>
      <c r="K117" s="505"/>
      <c r="L117" s="513"/>
      <c r="M117" s="505">
        <f t="shared" si="20"/>
        <v>0</v>
      </c>
      <c r="N117" s="513"/>
      <c r="O117" s="505">
        <f t="shared" si="22"/>
        <v>0</v>
      </c>
      <c r="P117" s="505">
        <f t="shared" si="23"/>
        <v>0</v>
      </c>
      <c r="Q117" s="244"/>
      <c r="R117" s="244"/>
      <c r="S117" s="244"/>
      <c r="T117" s="244"/>
      <c r="U117" s="244"/>
    </row>
    <row r="118" spans="2:21" ht="12.5">
      <c r="B118" s="145" t="str">
        <f t="shared" si="18"/>
        <v/>
      </c>
      <c r="C118" s="496">
        <f>IF(D94="","-",+C117+1)</f>
        <v>2029</v>
      </c>
      <c r="D118" s="350">
        <f>IF(F117+SUM(E$100:E117)=D$93,F117,D$93-SUM(E$100:E117))</f>
        <v>337593.65792637342</v>
      </c>
      <c r="E118" s="510">
        <f>IF(+J97&lt;F117,J97,D118)</f>
        <v>18628.878787878788</v>
      </c>
      <c r="F118" s="511">
        <f t="shared" si="27"/>
        <v>318964.77913849463</v>
      </c>
      <c r="G118" s="511">
        <f t="shared" si="28"/>
        <v>328279.21853243402</v>
      </c>
      <c r="H118" s="524">
        <f t="shared" si="29"/>
        <v>54086.06306909096</v>
      </c>
      <c r="I118" s="573">
        <f t="shared" si="30"/>
        <v>54086.06306909096</v>
      </c>
      <c r="J118" s="505">
        <f t="shared" si="25"/>
        <v>0</v>
      </c>
      <c r="K118" s="505"/>
      <c r="L118" s="513"/>
      <c r="M118" s="505">
        <f t="shared" si="20"/>
        <v>0</v>
      </c>
      <c r="N118" s="513"/>
      <c r="O118" s="505">
        <f t="shared" si="22"/>
        <v>0</v>
      </c>
      <c r="P118" s="505">
        <f t="shared" si="23"/>
        <v>0</v>
      </c>
      <c r="Q118" s="244"/>
      <c r="R118" s="244"/>
      <c r="S118" s="244"/>
      <c r="T118" s="244"/>
      <c r="U118" s="244"/>
    </row>
    <row r="119" spans="2:21" ht="12.5">
      <c r="B119" s="145" t="str">
        <f t="shared" si="18"/>
        <v/>
      </c>
      <c r="C119" s="496">
        <f>IF(D94="","-",+C118+1)</f>
        <v>2030</v>
      </c>
      <c r="D119" s="350">
        <f>IF(F118+SUM(E$100:E118)=D$93,F118,D$93-SUM(E$100:E118))</f>
        <v>318964.77913849463</v>
      </c>
      <c r="E119" s="510">
        <f>IF(+J97&lt;F118,J97,D119)</f>
        <v>18628.878787878788</v>
      </c>
      <c r="F119" s="511">
        <f t="shared" si="27"/>
        <v>300335.90035061585</v>
      </c>
      <c r="G119" s="511">
        <f t="shared" si="28"/>
        <v>309650.33974455524</v>
      </c>
      <c r="H119" s="524">
        <f t="shared" si="29"/>
        <v>52073.97229134677</v>
      </c>
      <c r="I119" s="573">
        <f t="shared" si="30"/>
        <v>52073.97229134677</v>
      </c>
      <c r="J119" s="505">
        <f t="shared" si="25"/>
        <v>0</v>
      </c>
      <c r="K119" s="505"/>
      <c r="L119" s="513"/>
      <c r="M119" s="505">
        <f t="shared" si="20"/>
        <v>0</v>
      </c>
      <c r="N119" s="513"/>
      <c r="O119" s="505">
        <f t="shared" si="22"/>
        <v>0</v>
      </c>
      <c r="P119" s="505">
        <f t="shared" si="23"/>
        <v>0</v>
      </c>
      <c r="Q119" s="244"/>
      <c r="R119" s="244"/>
      <c r="S119" s="244"/>
      <c r="T119" s="244"/>
      <c r="U119" s="244"/>
    </row>
    <row r="120" spans="2:21" ht="12.5">
      <c r="B120" s="145" t="str">
        <f t="shared" si="18"/>
        <v/>
      </c>
      <c r="C120" s="496">
        <f>IF(D94="","-",+C119+1)</f>
        <v>2031</v>
      </c>
      <c r="D120" s="350">
        <f>IF(F119+SUM(E$100:E119)=D$93,F119,D$93-SUM(E$100:E119))</f>
        <v>300335.90035061585</v>
      </c>
      <c r="E120" s="510">
        <f>IF(+J97&lt;F119,J97,D120)</f>
        <v>18628.878787878788</v>
      </c>
      <c r="F120" s="511">
        <f t="shared" si="27"/>
        <v>281707.02156273706</v>
      </c>
      <c r="G120" s="511">
        <f t="shared" si="28"/>
        <v>291021.46095667646</v>
      </c>
      <c r="H120" s="524">
        <f t="shared" si="29"/>
        <v>50061.881513602566</v>
      </c>
      <c r="I120" s="573">
        <f t="shared" si="30"/>
        <v>50061.881513602566</v>
      </c>
      <c r="J120" s="505">
        <f t="shared" si="25"/>
        <v>0</v>
      </c>
      <c r="K120" s="505"/>
      <c r="L120" s="513"/>
      <c r="M120" s="505">
        <f t="shared" si="20"/>
        <v>0</v>
      </c>
      <c r="N120" s="513"/>
      <c r="O120" s="505">
        <f t="shared" si="22"/>
        <v>0</v>
      </c>
      <c r="P120" s="505">
        <f t="shared" si="23"/>
        <v>0</v>
      </c>
      <c r="Q120" s="244"/>
      <c r="R120" s="244"/>
      <c r="S120" s="244"/>
      <c r="T120" s="244"/>
      <c r="U120" s="244"/>
    </row>
    <row r="121" spans="2:21" ht="12.5">
      <c r="B121" s="145" t="str">
        <f t="shared" si="18"/>
        <v/>
      </c>
      <c r="C121" s="496">
        <f>IF(D94="","-",+C120+1)</f>
        <v>2032</v>
      </c>
      <c r="D121" s="350">
        <f>IF(F120+SUM(E$100:E120)=D$93,F120,D$93-SUM(E$100:E120))</f>
        <v>281707.02156273706</v>
      </c>
      <c r="E121" s="510">
        <f>IF(+J97&lt;F120,J97,D121)</f>
        <v>18628.878787878788</v>
      </c>
      <c r="F121" s="511">
        <f t="shared" si="27"/>
        <v>263078.14277485828</v>
      </c>
      <c r="G121" s="511">
        <f t="shared" si="28"/>
        <v>272392.58216879767</v>
      </c>
      <c r="H121" s="524">
        <f t="shared" si="29"/>
        <v>48049.790735858376</v>
      </c>
      <c r="I121" s="573">
        <f t="shared" si="30"/>
        <v>48049.790735858376</v>
      </c>
      <c r="J121" s="505">
        <f t="shared" si="25"/>
        <v>0</v>
      </c>
      <c r="K121" s="505"/>
      <c r="L121" s="513"/>
      <c r="M121" s="505">
        <f t="shared" si="20"/>
        <v>0</v>
      </c>
      <c r="N121" s="513"/>
      <c r="O121" s="505">
        <f t="shared" si="22"/>
        <v>0</v>
      </c>
      <c r="P121" s="505">
        <f t="shared" si="23"/>
        <v>0</v>
      </c>
      <c r="Q121" s="244"/>
      <c r="R121" s="244"/>
      <c r="S121" s="244"/>
      <c r="T121" s="244"/>
      <c r="U121" s="244"/>
    </row>
    <row r="122" spans="2:21" ht="12.5">
      <c r="B122" s="145" t="str">
        <f t="shared" si="18"/>
        <v/>
      </c>
      <c r="C122" s="496">
        <f>IF(D94="","-",+C121+1)</f>
        <v>2033</v>
      </c>
      <c r="D122" s="350">
        <f>IF(F121+SUM(E$100:E121)=D$93,F121,D$93-SUM(E$100:E121))</f>
        <v>263078.14277485828</v>
      </c>
      <c r="E122" s="510">
        <f>IF(+J97&lt;F121,J97,D122)</f>
        <v>18628.878787878788</v>
      </c>
      <c r="F122" s="511">
        <f t="shared" si="27"/>
        <v>244449.26398697949</v>
      </c>
      <c r="G122" s="511">
        <f t="shared" si="28"/>
        <v>253763.70338091889</v>
      </c>
      <c r="H122" s="524">
        <f t="shared" si="29"/>
        <v>46037.699958114172</v>
      </c>
      <c r="I122" s="573">
        <f t="shared" si="30"/>
        <v>46037.699958114172</v>
      </c>
      <c r="J122" s="505">
        <f t="shared" si="25"/>
        <v>0</v>
      </c>
      <c r="K122" s="505"/>
      <c r="L122" s="513"/>
      <c r="M122" s="505">
        <f t="shared" si="20"/>
        <v>0</v>
      </c>
      <c r="N122" s="513"/>
      <c r="O122" s="505">
        <f t="shared" si="22"/>
        <v>0</v>
      </c>
      <c r="P122" s="505">
        <f t="shared" si="23"/>
        <v>0</v>
      </c>
      <c r="Q122" s="244"/>
      <c r="R122" s="244"/>
      <c r="S122" s="244"/>
      <c r="T122" s="244"/>
      <c r="U122" s="244"/>
    </row>
    <row r="123" spans="2:21" ht="12.5">
      <c r="B123" s="145" t="str">
        <f t="shared" si="18"/>
        <v/>
      </c>
      <c r="C123" s="496">
        <f>IF(D94="","-",+C122+1)</f>
        <v>2034</v>
      </c>
      <c r="D123" s="350">
        <f>IF(F122+SUM(E$100:E122)=D$93,F122,D$93-SUM(E$100:E122))</f>
        <v>244449.26398697949</v>
      </c>
      <c r="E123" s="510">
        <f>IF(+J97&lt;F122,J97,D123)</f>
        <v>18628.878787878788</v>
      </c>
      <c r="F123" s="511">
        <f t="shared" si="27"/>
        <v>225820.38519910071</v>
      </c>
      <c r="G123" s="511">
        <f t="shared" si="28"/>
        <v>235134.8245930401</v>
      </c>
      <c r="H123" s="524">
        <f t="shared" si="29"/>
        <v>44025.609180369982</v>
      </c>
      <c r="I123" s="573">
        <f t="shared" si="30"/>
        <v>44025.609180369982</v>
      </c>
      <c r="J123" s="505">
        <f t="shared" si="25"/>
        <v>0</v>
      </c>
      <c r="K123" s="505"/>
      <c r="L123" s="513"/>
      <c r="M123" s="505">
        <f t="shared" si="20"/>
        <v>0</v>
      </c>
      <c r="N123" s="513"/>
      <c r="O123" s="505">
        <f t="shared" si="22"/>
        <v>0</v>
      </c>
      <c r="P123" s="505">
        <f t="shared" si="23"/>
        <v>0</v>
      </c>
      <c r="Q123" s="244"/>
      <c r="R123" s="244"/>
      <c r="S123" s="244"/>
      <c r="T123" s="244"/>
      <c r="U123" s="244"/>
    </row>
    <row r="124" spans="2:21" ht="12.5">
      <c r="B124" s="145" t="str">
        <f t="shared" si="18"/>
        <v/>
      </c>
      <c r="C124" s="496">
        <f>IF(D94="","-",+C123+1)</f>
        <v>2035</v>
      </c>
      <c r="D124" s="350">
        <f>IF(F123+SUM(E$100:E123)=D$93,F123,D$93-SUM(E$100:E123))</f>
        <v>225820.38519910071</v>
      </c>
      <c r="E124" s="510">
        <f>IF(+J97&lt;F123,J97,D124)</f>
        <v>18628.878787878788</v>
      </c>
      <c r="F124" s="511">
        <f t="shared" si="27"/>
        <v>207191.50641122193</v>
      </c>
      <c r="G124" s="511">
        <f t="shared" si="28"/>
        <v>216505.94580516132</v>
      </c>
      <c r="H124" s="524">
        <f t="shared" si="29"/>
        <v>42013.518402625778</v>
      </c>
      <c r="I124" s="573">
        <f t="shared" si="30"/>
        <v>42013.518402625778</v>
      </c>
      <c r="J124" s="505">
        <f t="shared" si="25"/>
        <v>0</v>
      </c>
      <c r="K124" s="505"/>
      <c r="L124" s="513"/>
      <c r="M124" s="505">
        <f t="shared" si="20"/>
        <v>0</v>
      </c>
      <c r="N124" s="513"/>
      <c r="O124" s="505">
        <f t="shared" si="22"/>
        <v>0</v>
      </c>
      <c r="P124" s="505">
        <f t="shared" si="23"/>
        <v>0</v>
      </c>
      <c r="Q124" s="244"/>
      <c r="R124" s="244"/>
      <c r="S124" s="244"/>
      <c r="T124" s="244"/>
      <c r="U124" s="244"/>
    </row>
    <row r="125" spans="2:21" ht="12.5">
      <c r="B125" s="145" t="str">
        <f t="shared" si="18"/>
        <v/>
      </c>
      <c r="C125" s="496">
        <f>IF(D94="","-",+C124+1)</f>
        <v>2036</v>
      </c>
      <c r="D125" s="350">
        <f>IF(F124+SUM(E$100:E124)=D$93,F124,D$93-SUM(E$100:E124))</f>
        <v>207191.50641122193</v>
      </c>
      <c r="E125" s="510">
        <f>IF(+J97&lt;F124,J97,D125)</f>
        <v>18628.878787878788</v>
      </c>
      <c r="F125" s="511">
        <f t="shared" si="27"/>
        <v>188562.62762334314</v>
      </c>
      <c r="G125" s="511">
        <f t="shared" si="28"/>
        <v>197877.06701728253</v>
      </c>
      <c r="H125" s="524">
        <f t="shared" si="29"/>
        <v>40001.427624881588</v>
      </c>
      <c r="I125" s="573">
        <f t="shared" si="30"/>
        <v>40001.427624881588</v>
      </c>
      <c r="J125" s="505">
        <f t="shared" si="25"/>
        <v>0</v>
      </c>
      <c r="K125" s="505"/>
      <c r="L125" s="513"/>
      <c r="M125" s="505">
        <f t="shared" si="20"/>
        <v>0</v>
      </c>
      <c r="N125" s="513"/>
      <c r="O125" s="505">
        <f t="shared" si="22"/>
        <v>0</v>
      </c>
      <c r="P125" s="505">
        <f t="shared" si="23"/>
        <v>0</v>
      </c>
      <c r="Q125" s="244"/>
      <c r="R125" s="244"/>
      <c r="S125" s="244"/>
      <c r="T125" s="244"/>
      <c r="U125" s="244"/>
    </row>
    <row r="126" spans="2:21" ht="12.5">
      <c r="B126" s="145" t="str">
        <f t="shared" si="18"/>
        <v/>
      </c>
      <c r="C126" s="496">
        <f>IF(D94="","-",+C125+1)</f>
        <v>2037</v>
      </c>
      <c r="D126" s="350">
        <f>IF(F125+SUM(E$100:E125)=D$93,F125,D$93-SUM(E$100:E125))</f>
        <v>188562.62762334314</v>
      </c>
      <c r="E126" s="510">
        <f>IF(+J97&lt;F125,J97,D126)</f>
        <v>18628.878787878788</v>
      </c>
      <c r="F126" s="511">
        <f t="shared" si="27"/>
        <v>169933.74883546436</v>
      </c>
      <c r="G126" s="511">
        <f t="shared" si="28"/>
        <v>179248.18822940375</v>
      </c>
      <c r="H126" s="524">
        <f t="shared" si="29"/>
        <v>37989.336847137383</v>
      </c>
      <c r="I126" s="573">
        <f t="shared" si="30"/>
        <v>37989.336847137383</v>
      </c>
      <c r="J126" s="505">
        <f t="shared" si="25"/>
        <v>0</v>
      </c>
      <c r="K126" s="505"/>
      <c r="L126" s="513"/>
      <c r="M126" s="505">
        <f t="shared" si="20"/>
        <v>0</v>
      </c>
      <c r="N126" s="513"/>
      <c r="O126" s="505">
        <f t="shared" si="22"/>
        <v>0</v>
      </c>
      <c r="P126" s="505">
        <f t="shared" si="23"/>
        <v>0</v>
      </c>
      <c r="Q126" s="244"/>
      <c r="R126" s="244"/>
      <c r="S126" s="244"/>
      <c r="T126" s="244"/>
      <c r="U126" s="244"/>
    </row>
    <row r="127" spans="2:21" ht="12.5">
      <c r="B127" s="145" t="str">
        <f t="shared" si="18"/>
        <v/>
      </c>
      <c r="C127" s="496">
        <f>IF(D94="","-",+C126+1)</f>
        <v>2038</v>
      </c>
      <c r="D127" s="350">
        <f>IF(F126+SUM(E$100:E126)=D$93,F126,D$93-SUM(E$100:E126))</f>
        <v>169933.74883546436</v>
      </c>
      <c r="E127" s="510">
        <f>IF(+J97&lt;F126,J97,D127)</f>
        <v>18628.878787878788</v>
      </c>
      <c r="F127" s="511">
        <f t="shared" si="27"/>
        <v>151304.87004758557</v>
      </c>
      <c r="G127" s="511">
        <f t="shared" si="28"/>
        <v>160619.30944152497</v>
      </c>
      <c r="H127" s="524">
        <f t="shared" si="29"/>
        <v>35977.246069393186</v>
      </c>
      <c r="I127" s="573">
        <f t="shared" si="30"/>
        <v>35977.246069393186</v>
      </c>
      <c r="J127" s="505">
        <f t="shared" si="25"/>
        <v>0</v>
      </c>
      <c r="K127" s="505"/>
      <c r="L127" s="513"/>
      <c r="M127" s="505">
        <f t="shared" si="20"/>
        <v>0</v>
      </c>
      <c r="N127" s="513"/>
      <c r="O127" s="505">
        <f t="shared" si="22"/>
        <v>0</v>
      </c>
      <c r="P127" s="505">
        <f t="shared" si="23"/>
        <v>0</v>
      </c>
      <c r="Q127" s="244"/>
      <c r="R127" s="244"/>
      <c r="S127" s="244"/>
      <c r="T127" s="244"/>
      <c r="U127" s="244"/>
    </row>
    <row r="128" spans="2:21" ht="12.5">
      <c r="B128" s="145" t="str">
        <f t="shared" si="18"/>
        <v/>
      </c>
      <c r="C128" s="496">
        <f>IF(D94="","-",+C127+1)</f>
        <v>2039</v>
      </c>
      <c r="D128" s="350">
        <f>IF(F127+SUM(E$100:E127)=D$93,F127,D$93-SUM(E$100:E127))</f>
        <v>151304.87004758557</v>
      </c>
      <c r="E128" s="510">
        <f>IF(+J97&lt;F127,J97,D128)</f>
        <v>18628.878787878788</v>
      </c>
      <c r="F128" s="511">
        <f t="shared" si="27"/>
        <v>132675.99125970679</v>
      </c>
      <c r="G128" s="511">
        <f t="shared" si="28"/>
        <v>141990.43065364618</v>
      </c>
      <c r="H128" s="524">
        <f t="shared" si="29"/>
        <v>33965.155291648989</v>
      </c>
      <c r="I128" s="573">
        <f t="shared" si="30"/>
        <v>33965.155291648989</v>
      </c>
      <c r="J128" s="505">
        <f t="shared" si="25"/>
        <v>0</v>
      </c>
      <c r="K128" s="505"/>
      <c r="L128" s="513"/>
      <c r="M128" s="505">
        <f t="shared" si="20"/>
        <v>0</v>
      </c>
      <c r="N128" s="513"/>
      <c r="O128" s="505">
        <f t="shared" si="22"/>
        <v>0</v>
      </c>
      <c r="P128" s="505">
        <f t="shared" si="23"/>
        <v>0</v>
      </c>
      <c r="Q128" s="244"/>
      <c r="R128" s="244"/>
      <c r="S128" s="244"/>
      <c r="T128" s="244"/>
      <c r="U128" s="244"/>
    </row>
    <row r="129" spans="2:21" ht="12.5">
      <c r="B129" s="145" t="str">
        <f t="shared" si="18"/>
        <v/>
      </c>
      <c r="C129" s="496">
        <f>IF(D94="","-",+C128+1)</f>
        <v>2040</v>
      </c>
      <c r="D129" s="350">
        <f>IF(F128+SUM(E$100:E128)=D$93,F128,D$93-SUM(E$100:E128))</f>
        <v>132675.99125970679</v>
      </c>
      <c r="E129" s="510">
        <f>IF(+J97&lt;F128,J97,D129)</f>
        <v>18628.878787878788</v>
      </c>
      <c r="F129" s="511">
        <f t="shared" si="27"/>
        <v>114047.112471828</v>
      </c>
      <c r="G129" s="511">
        <f t="shared" si="28"/>
        <v>123361.5518657674</v>
      </c>
      <c r="H129" s="524">
        <f t="shared" si="29"/>
        <v>31953.064513904792</v>
      </c>
      <c r="I129" s="573">
        <f t="shared" si="30"/>
        <v>31953.064513904792</v>
      </c>
      <c r="J129" s="505">
        <f t="shared" si="25"/>
        <v>0</v>
      </c>
      <c r="K129" s="505"/>
      <c r="L129" s="513"/>
      <c r="M129" s="505">
        <f t="shared" si="20"/>
        <v>0</v>
      </c>
      <c r="N129" s="513"/>
      <c r="O129" s="505">
        <f t="shared" si="22"/>
        <v>0</v>
      </c>
      <c r="P129" s="505">
        <f t="shared" si="23"/>
        <v>0</v>
      </c>
      <c r="Q129" s="244"/>
      <c r="R129" s="244"/>
      <c r="S129" s="244"/>
      <c r="T129" s="244"/>
      <c r="U129" s="244"/>
    </row>
    <row r="130" spans="2:21" ht="12.5">
      <c r="B130" s="145" t="str">
        <f t="shared" si="18"/>
        <v/>
      </c>
      <c r="C130" s="496">
        <f>IF(D94="","-",+C129+1)</f>
        <v>2041</v>
      </c>
      <c r="D130" s="350">
        <f>IF(F129+SUM(E$100:E129)=D$93,F129,D$93-SUM(E$100:E129))</f>
        <v>114047.112471828</v>
      </c>
      <c r="E130" s="510">
        <f>IF(+J97&lt;F129,J97,D130)</f>
        <v>18628.878787878788</v>
      </c>
      <c r="F130" s="511">
        <f t="shared" si="27"/>
        <v>95418.23368394922</v>
      </c>
      <c r="G130" s="511">
        <f t="shared" si="28"/>
        <v>104732.67307788861</v>
      </c>
      <c r="H130" s="524">
        <f t="shared" si="29"/>
        <v>29940.973736160595</v>
      </c>
      <c r="I130" s="573">
        <f t="shared" si="30"/>
        <v>29940.973736160595</v>
      </c>
      <c r="J130" s="505">
        <f t="shared" si="25"/>
        <v>0</v>
      </c>
      <c r="K130" s="505"/>
      <c r="L130" s="513"/>
      <c r="M130" s="505">
        <f t="shared" si="20"/>
        <v>0</v>
      </c>
      <c r="N130" s="513"/>
      <c r="O130" s="505">
        <f t="shared" si="22"/>
        <v>0</v>
      </c>
      <c r="P130" s="505">
        <f t="shared" si="23"/>
        <v>0</v>
      </c>
      <c r="Q130" s="244"/>
      <c r="R130" s="244"/>
      <c r="S130" s="244"/>
      <c r="T130" s="244"/>
      <c r="U130" s="244"/>
    </row>
    <row r="131" spans="2:21" ht="12.5">
      <c r="B131" s="145" t="str">
        <f t="shared" si="18"/>
        <v/>
      </c>
      <c r="C131" s="496">
        <f>IF(D94="","-",+C130+1)</f>
        <v>2042</v>
      </c>
      <c r="D131" s="350">
        <f>IF(F130+SUM(E$100:E130)=D$93,F130,D$93-SUM(E$100:E130))</f>
        <v>95418.23368394922</v>
      </c>
      <c r="E131" s="510">
        <f>IF(+J97&lt;F130,J97,D131)</f>
        <v>18628.878787878788</v>
      </c>
      <c r="F131" s="511">
        <f t="shared" si="27"/>
        <v>76789.354896070436</v>
      </c>
      <c r="G131" s="511">
        <f t="shared" si="28"/>
        <v>86103.794290009828</v>
      </c>
      <c r="H131" s="524">
        <f t="shared" si="29"/>
        <v>27928.882958416398</v>
      </c>
      <c r="I131" s="573">
        <f t="shared" si="30"/>
        <v>27928.882958416398</v>
      </c>
      <c r="J131" s="505">
        <f t="shared" si="25"/>
        <v>0</v>
      </c>
      <c r="K131" s="505"/>
      <c r="L131" s="513"/>
      <c r="M131" s="505">
        <f t="shared" si="20"/>
        <v>0</v>
      </c>
      <c r="N131" s="513"/>
      <c r="O131" s="505">
        <f t="shared" si="22"/>
        <v>0</v>
      </c>
      <c r="P131" s="505">
        <f t="shared" si="23"/>
        <v>0</v>
      </c>
      <c r="Q131" s="244"/>
      <c r="R131" s="244"/>
      <c r="S131" s="244"/>
      <c r="T131" s="244"/>
      <c r="U131" s="244"/>
    </row>
    <row r="132" spans="2:21" ht="12.5">
      <c r="B132" s="145" t="str">
        <f t="shared" ref="B132:B155" si="31">IF(D132=F131,"","IU")</f>
        <v/>
      </c>
      <c r="C132" s="496">
        <f>IF(D94="","-",+C131+1)</f>
        <v>2043</v>
      </c>
      <c r="D132" s="350">
        <f>IF(F131+SUM(E$100:E131)=D$93,F131,D$93-SUM(E$100:E131))</f>
        <v>76789.354896070436</v>
      </c>
      <c r="E132" s="510">
        <f>IF(+J97&lt;F131,J97,D132)</f>
        <v>18628.878787878788</v>
      </c>
      <c r="F132" s="511">
        <f t="shared" si="27"/>
        <v>58160.476108191651</v>
      </c>
      <c r="G132" s="511">
        <f t="shared" ref="G132:G155" si="32">+(F132+D132)/2</f>
        <v>67474.915502131043</v>
      </c>
      <c r="H132" s="524">
        <f t="shared" ref="H132:H155" si="33">+J$95*G132+E132</f>
        <v>25916.792180672201</v>
      </c>
      <c r="I132" s="573">
        <f t="shared" ref="I132:I155" si="34">+J$96*G132+E132</f>
        <v>25916.792180672201</v>
      </c>
      <c r="J132" s="505">
        <f t="shared" ref="J132:J155" si="35">+I132-H132</f>
        <v>0</v>
      </c>
      <c r="K132" s="505"/>
      <c r="L132" s="513"/>
      <c r="M132" s="505">
        <f t="shared" ref="M132:M155" si="36">IF(L132&lt;&gt;0,+H132-L132,0)</f>
        <v>0</v>
      </c>
      <c r="N132" s="513"/>
      <c r="O132" s="505">
        <f t="shared" ref="O132:O155" si="37">IF(N132&lt;&gt;0,+I132-N132,0)</f>
        <v>0</v>
      </c>
      <c r="P132" s="505">
        <f t="shared" ref="P132:P155" si="38">+O132-M132</f>
        <v>0</v>
      </c>
      <c r="Q132" s="244"/>
      <c r="R132" s="244"/>
      <c r="S132" s="244"/>
      <c r="T132" s="244"/>
      <c r="U132" s="244"/>
    </row>
    <row r="133" spans="2:21" ht="12.5">
      <c r="B133" s="145" t="str">
        <f t="shared" si="31"/>
        <v/>
      </c>
      <c r="C133" s="496">
        <f>IF(D94="","-",+C132+1)</f>
        <v>2044</v>
      </c>
      <c r="D133" s="350">
        <f>IF(F132+SUM(E$100:E132)=D$93,F132,D$93-SUM(E$100:E132))</f>
        <v>58160.476108191651</v>
      </c>
      <c r="E133" s="510">
        <f>IF(+J97&lt;F132,J97,D133)</f>
        <v>18628.878787878788</v>
      </c>
      <c r="F133" s="511">
        <f t="shared" ref="F133:F155" si="39">+D133-E133</f>
        <v>39531.597320312867</v>
      </c>
      <c r="G133" s="511">
        <f t="shared" si="32"/>
        <v>48846.036714252259</v>
      </c>
      <c r="H133" s="524">
        <f t="shared" si="33"/>
        <v>23904.701402928</v>
      </c>
      <c r="I133" s="573">
        <f t="shared" si="34"/>
        <v>23904.701402928</v>
      </c>
      <c r="J133" s="505">
        <f t="shared" si="35"/>
        <v>0</v>
      </c>
      <c r="K133" s="505"/>
      <c r="L133" s="513"/>
      <c r="M133" s="505">
        <f t="shared" si="36"/>
        <v>0</v>
      </c>
      <c r="N133" s="513"/>
      <c r="O133" s="505">
        <f t="shared" si="37"/>
        <v>0</v>
      </c>
      <c r="P133" s="505">
        <f t="shared" si="38"/>
        <v>0</v>
      </c>
      <c r="Q133" s="244"/>
      <c r="R133" s="244"/>
      <c r="S133" s="244"/>
      <c r="T133" s="244"/>
      <c r="U133" s="244"/>
    </row>
    <row r="134" spans="2:21" ht="12.5">
      <c r="B134" s="145" t="str">
        <f t="shared" si="31"/>
        <v/>
      </c>
      <c r="C134" s="496">
        <f>IF(D94="","-",+C133+1)</f>
        <v>2045</v>
      </c>
      <c r="D134" s="350">
        <f>IF(F133+SUM(E$100:E133)=D$93,F133,D$93-SUM(E$100:E133))</f>
        <v>39531.597320312867</v>
      </c>
      <c r="E134" s="510">
        <f>IF(+J97&lt;F133,J97,D134)</f>
        <v>18628.878787878788</v>
      </c>
      <c r="F134" s="511">
        <f t="shared" si="39"/>
        <v>20902.718532434079</v>
      </c>
      <c r="G134" s="511">
        <f t="shared" si="32"/>
        <v>30217.157926373475</v>
      </c>
      <c r="H134" s="524">
        <f t="shared" si="33"/>
        <v>21892.610625183803</v>
      </c>
      <c r="I134" s="573">
        <f t="shared" si="34"/>
        <v>21892.610625183803</v>
      </c>
      <c r="J134" s="505">
        <f t="shared" si="35"/>
        <v>0</v>
      </c>
      <c r="K134" s="505"/>
      <c r="L134" s="513"/>
      <c r="M134" s="505">
        <f t="shared" si="36"/>
        <v>0</v>
      </c>
      <c r="N134" s="513"/>
      <c r="O134" s="505">
        <f t="shared" si="37"/>
        <v>0</v>
      </c>
      <c r="P134" s="505">
        <f t="shared" si="38"/>
        <v>0</v>
      </c>
      <c r="Q134" s="244"/>
      <c r="R134" s="244"/>
      <c r="S134" s="244"/>
      <c r="T134" s="244"/>
      <c r="U134" s="244"/>
    </row>
    <row r="135" spans="2:21" ht="12.5">
      <c r="B135" s="145" t="str">
        <f t="shared" si="31"/>
        <v/>
      </c>
      <c r="C135" s="496">
        <f>IF(D94="","-",+C134+1)</f>
        <v>2046</v>
      </c>
      <c r="D135" s="350">
        <f>IF(F134+SUM(E$100:E134)=D$93,F134,D$93-SUM(E$100:E134))</f>
        <v>20902.718532434079</v>
      </c>
      <c r="E135" s="510">
        <f>IF(+J97&lt;F134,J97,D135)</f>
        <v>18628.878787878788</v>
      </c>
      <c r="F135" s="511">
        <f t="shared" si="39"/>
        <v>2273.839744555291</v>
      </c>
      <c r="G135" s="511">
        <f t="shared" si="32"/>
        <v>11588.279138494685</v>
      </c>
      <c r="H135" s="524">
        <f t="shared" si="33"/>
        <v>19880.519847439606</v>
      </c>
      <c r="I135" s="573">
        <f t="shared" si="34"/>
        <v>19880.519847439606</v>
      </c>
      <c r="J135" s="505">
        <f t="shared" si="35"/>
        <v>0</v>
      </c>
      <c r="K135" s="505"/>
      <c r="L135" s="513"/>
      <c r="M135" s="505">
        <f t="shared" si="36"/>
        <v>0</v>
      </c>
      <c r="N135" s="513"/>
      <c r="O135" s="505">
        <f t="shared" si="37"/>
        <v>0</v>
      </c>
      <c r="P135" s="505">
        <f t="shared" si="38"/>
        <v>0</v>
      </c>
      <c r="Q135" s="244"/>
      <c r="R135" s="244"/>
      <c r="S135" s="244"/>
      <c r="T135" s="244"/>
      <c r="U135" s="244"/>
    </row>
    <row r="136" spans="2:21" ht="12.5">
      <c r="B136" s="145" t="str">
        <f t="shared" si="31"/>
        <v/>
      </c>
      <c r="C136" s="496">
        <f>IF(D94="","-",+C135+1)</f>
        <v>2047</v>
      </c>
      <c r="D136" s="350">
        <f>IF(F135+SUM(E$100:E135)=D$93,F135,D$93-SUM(E$100:E135))</f>
        <v>2273.839744555291</v>
      </c>
      <c r="E136" s="510">
        <f>IF(+J97&lt;F135,J97,D136)</f>
        <v>2273.839744555291</v>
      </c>
      <c r="F136" s="511">
        <f t="shared" si="39"/>
        <v>0</v>
      </c>
      <c r="G136" s="511">
        <f t="shared" si="32"/>
        <v>1136.9198722776455</v>
      </c>
      <c r="H136" s="524">
        <f t="shared" si="33"/>
        <v>2396.6375798996501</v>
      </c>
      <c r="I136" s="573">
        <f t="shared" si="34"/>
        <v>2396.6375798996501</v>
      </c>
      <c r="J136" s="505">
        <f t="shared" si="35"/>
        <v>0</v>
      </c>
      <c r="K136" s="505"/>
      <c r="L136" s="513"/>
      <c r="M136" s="505">
        <f t="shared" si="36"/>
        <v>0</v>
      </c>
      <c r="N136" s="513"/>
      <c r="O136" s="505">
        <f t="shared" si="37"/>
        <v>0</v>
      </c>
      <c r="P136" s="505">
        <f t="shared" si="38"/>
        <v>0</v>
      </c>
      <c r="Q136" s="244"/>
      <c r="R136" s="244"/>
      <c r="S136" s="244"/>
      <c r="T136" s="244"/>
      <c r="U136" s="244"/>
    </row>
    <row r="137" spans="2:21" ht="12.5">
      <c r="B137" s="145" t="str">
        <f t="shared" si="31"/>
        <v/>
      </c>
      <c r="C137" s="496">
        <f>IF(D94="","-",+C136+1)</f>
        <v>2048</v>
      </c>
      <c r="D137" s="350">
        <f>IF(F136+SUM(E$100:E136)=D$93,F136,D$93-SUM(E$100:E136))</f>
        <v>0</v>
      </c>
      <c r="E137" s="510">
        <f>IF(+J97&lt;F136,J97,D137)</f>
        <v>0</v>
      </c>
      <c r="F137" s="511">
        <f t="shared" si="39"/>
        <v>0</v>
      </c>
      <c r="G137" s="511">
        <f t="shared" si="32"/>
        <v>0</v>
      </c>
      <c r="H137" s="524">
        <f t="shared" si="33"/>
        <v>0</v>
      </c>
      <c r="I137" s="573">
        <f t="shared" si="34"/>
        <v>0</v>
      </c>
      <c r="J137" s="505">
        <f t="shared" si="35"/>
        <v>0</v>
      </c>
      <c r="K137" s="505"/>
      <c r="L137" s="513"/>
      <c r="M137" s="505">
        <f t="shared" si="36"/>
        <v>0</v>
      </c>
      <c r="N137" s="513"/>
      <c r="O137" s="505">
        <f t="shared" si="37"/>
        <v>0</v>
      </c>
      <c r="P137" s="505">
        <f t="shared" si="38"/>
        <v>0</v>
      </c>
      <c r="Q137" s="244"/>
      <c r="R137" s="244"/>
      <c r="S137" s="244"/>
      <c r="T137" s="244"/>
      <c r="U137" s="244"/>
    </row>
    <row r="138" spans="2:21" ht="12.5">
      <c r="B138" s="145" t="str">
        <f t="shared" si="31"/>
        <v/>
      </c>
      <c r="C138" s="496">
        <f>IF(D94="","-",+C137+1)</f>
        <v>2049</v>
      </c>
      <c r="D138" s="350">
        <f>IF(F137+SUM(E$100:E137)=D$93,F137,D$93-SUM(E$100:E137))</f>
        <v>0</v>
      </c>
      <c r="E138" s="510">
        <f>IF(+J97&lt;F137,J97,D138)</f>
        <v>0</v>
      </c>
      <c r="F138" s="511">
        <f t="shared" si="39"/>
        <v>0</v>
      </c>
      <c r="G138" s="511">
        <f t="shared" si="32"/>
        <v>0</v>
      </c>
      <c r="H138" s="524">
        <f t="shared" si="33"/>
        <v>0</v>
      </c>
      <c r="I138" s="573">
        <f t="shared" si="34"/>
        <v>0</v>
      </c>
      <c r="J138" s="505">
        <f t="shared" si="35"/>
        <v>0</v>
      </c>
      <c r="K138" s="505"/>
      <c r="L138" s="513"/>
      <c r="M138" s="505">
        <f t="shared" si="36"/>
        <v>0</v>
      </c>
      <c r="N138" s="513"/>
      <c r="O138" s="505">
        <f t="shared" si="37"/>
        <v>0</v>
      </c>
      <c r="P138" s="505">
        <f t="shared" si="38"/>
        <v>0</v>
      </c>
      <c r="Q138" s="244"/>
      <c r="R138" s="244"/>
      <c r="S138" s="244"/>
      <c r="T138" s="244"/>
      <c r="U138" s="244"/>
    </row>
    <row r="139" spans="2:21" ht="12.5">
      <c r="B139" s="145" t="str">
        <f t="shared" si="31"/>
        <v/>
      </c>
      <c r="C139" s="496">
        <f>IF(D94="","-",+C138+1)</f>
        <v>2050</v>
      </c>
      <c r="D139" s="350">
        <f>IF(F138+SUM(E$100:E138)=D$93,F138,D$93-SUM(E$100:E138))</f>
        <v>0</v>
      </c>
      <c r="E139" s="510">
        <f>IF(+J97&lt;F138,J97,D139)</f>
        <v>0</v>
      </c>
      <c r="F139" s="511">
        <f t="shared" si="39"/>
        <v>0</v>
      </c>
      <c r="G139" s="511">
        <f t="shared" si="32"/>
        <v>0</v>
      </c>
      <c r="H139" s="524">
        <f t="shared" si="33"/>
        <v>0</v>
      </c>
      <c r="I139" s="573">
        <f t="shared" si="34"/>
        <v>0</v>
      </c>
      <c r="J139" s="505">
        <f t="shared" si="35"/>
        <v>0</v>
      </c>
      <c r="K139" s="505"/>
      <c r="L139" s="513"/>
      <c r="M139" s="505">
        <f t="shared" si="36"/>
        <v>0</v>
      </c>
      <c r="N139" s="513"/>
      <c r="O139" s="505">
        <f t="shared" si="37"/>
        <v>0</v>
      </c>
      <c r="P139" s="505">
        <f t="shared" si="38"/>
        <v>0</v>
      </c>
      <c r="Q139" s="244"/>
      <c r="R139" s="244"/>
      <c r="S139" s="244"/>
      <c r="T139" s="244"/>
      <c r="U139" s="244"/>
    </row>
    <row r="140" spans="2:21" ht="12.5">
      <c r="B140" s="145" t="str">
        <f t="shared" si="31"/>
        <v/>
      </c>
      <c r="C140" s="496">
        <f>IF(D94="","-",+C139+1)</f>
        <v>2051</v>
      </c>
      <c r="D140" s="350">
        <f>IF(F139+SUM(E$100:E139)=D$93,F139,D$93-SUM(E$100:E139))</f>
        <v>0</v>
      </c>
      <c r="E140" s="510">
        <f>IF(+J97&lt;F139,J97,D140)</f>
        <v>0</v>
      </c>
      <c r="F140" s="511">
        <f t="shared" si="39"/>
        <v>0</v>
      </c>
      <c r="G140" s="511">
        <f t="shared" si="32"/>
        <v>0</v>
      </c>
      <c r="H140" s="524">
        <f t="shared" si="33"/>
        <v>0</v>
      </c>
      <c r="I140" s="573">
        <f t="shared" si="34"/>
        <v>0</v>
      </c>
      <c r="J140" s="505">
        <f t="shared" si="35"/>
        <v>0</v>
      </c>
      <c r="K140" s="505"/>
      <c r="L140" s="513"/>
      <c r="M140" s="505">
        <f t="shared" si="36"/>
        <v>0</v>
      </c>
      <c r="N140" s="513"/>
      <c r="O140" s="505">
        <f t="shared" si="37"/>
        <v>0</v>
      </c>
      <c r="P140" s="505">
        <f t="shared" si="38"/>
        <v>0</v>
      </c>
      <c r="Q140" s="244"/>
      <c r="R140" s="244"/>
      <c r="S140" s="244"/>
      <c r="T140" s="244"/>
      <c r="U140" s="244"/>
    </row>
    <row r="141" spans="2:21" ht="12.5">
      <c r="B141" s="145" t="str">
        <f t="shared" si="31"/>
        <v/>
      </c>
      <c r="C141" s="496">
        <f>IF(D94="","-",+C140+1)</f>
        <v>2052</v>
      </c>
      <c r="D141" s="350">
        <f>IF(F140+SUM(E$100:E140)=D$93,F140,D$93-SUM(E$100:E140))</f>
        <v>0</v>
      </c>
      <c r="E141" s="510">
        <f>IF(+J97&lt;F140,J97,D141)</f>
        <v>0</v>
      </c>
      <c r="F141" s="511">
        <f t="shared" si="39"/>
        <v>0</v>
      </c>
      <c r="G141" s="511">
        <f t="shared" si="32"/>
        <v>0</v>
      </c>
      <c r="H141" s="524">
        <f t="shared" si="33"/>
        <v>0</v>
      </c>
      <c r="I141" s="573">
        <f t="shared" si="34"/>
        <v>0</v>
      </c>
      <c r="J141" s="505">
        <f t="shared" si="35"/>
        <v>0</v>
      </c>
      <c r="K141" s="505"/>
      <c r="L141" s="513"/>
      <c r="M141" s="505">
        <f t="shared" si="36"/>
        <v>0</v>
      </c>
      <c r="N141" s="513"/>
      <c r="O141" s="505">
        <f t="shared" si="37"/>
        <v>0</v>
      </c>
      <c r="P141" s="505">
        <f t="shared" si="38"/>
        <v>0</v>
      </c>
      <c r="Q141" s="244"/>
      <c r="R141" s="244"/>
      <c r="S141" s="244"/>
      <c r="T141" s="244"/>
      <c r="U141" s="244"/>
    </row>
    <row r="142" spans="2:21" ht="12.5">
      <c r="B142" s="145" t="str">
        <f t="shared" si="31"/>
        <v/>
      </c>
      <c r="C142" s="496">
        <f>IF(D94="","-",+C141+1)</f>
        <v>2053</v>
      </c>
      <c r="D142" s="350">
        <f>IF(F141+SUM(E$100:E141)=D$93,F141,D$93-SUM(E$100:E141))</f>
        <v>0</v>
      </c>
      <c r="E142" s="510">
        <f>IF(+J97&lt;F141,J97,D142)</f>
        <v>0</v>
      </c>
      <c r="F142" s="511">
        <f t="shared" si="39"/>
        <v>0</v>
      </c>
      <c r="G142" s="511">
        <f t="shared" si="32"/>
        <v>0</v>
      </c>
      <c r="H142" s="524">
        <f t="shared" si="33"/>
        <v>0</v>
      </c>
      <c r="I142" s="573">
        <f t="shared" si="34"/>
        <v>0</v>
      </c>
      <c r="J142" s="505">
        <f t="shared" si="35"/>
        <v>0</v>
      </c>
      <c r="K142" s="505"/>
      <c r="L142" s="513"/>
      <c r="M142" s="505">
        <f t="shared" si="36"/>
        <v>0</v>
      </c>
      <c r="N142" s="513"/>
      <c r="O142" s="505">
        <f t="shared" si="37"/>
        <v>0</v>
      </c>
      <c r="P142" s="505">
        <f t="shared" si="38"/>
        <v>0</v>
      </c>
      <c r="Q142" s="244"/>
      <c r="R142" s="244"/>
      <c r="S142" s="244"/>
      <c r="T142" s="244"/>
      <c r="U142" s="244"/>
    </row>
    <row r="143" spans="2:21" ht="12.5">
      <c r="B143" s="145" t="str">
        <f t="shared" si="31"/>
        <v/>
      </c>
      <c r="C143" s="496">
        <f>IF(D94="","-",+C142+1)</f>
        <v>2054</v>
      </c>
      <c r="D143" s="350">
        <f>IF(F142+SUM(E$100:E142)=D$93,F142,D$93-SUM(E$100:E142))</f>
        <v>0</v>
      </c>
      <c r="E143" s="510">
        <f>IF(+J97&lt;F142,J97,D143)</f>
        <v>0</v>
      </c>
      <c r="F143" s="511">
        <f t="shared" si="39"/>
        <v>0</v>
      </c>
      <c r="G143" s="511">
        <f t="shared" si="32"/>
        <v>0</v>
      </c>
      <c r="H143" s="524">
        <f t="shared" si="33"/>
        <v>0</v>
      </c>
      <c r="I143" s="573">
        <f t="shared" si="34"/>
        <v>0</v>
      </c>
      <c r="J143" s="505">
        <f t="shared" si="35"/>
        <v>0</v>
      </c>
      <c r="K143" s="505"/>
      <c r="L143" s="513"/>
      <c r="M143" s="505">
        <f t="shared" si="36"/>
        <v>0</v>
      </c>
      <c r="N143" s="513"/>
      <c r="O143" s="505">
        <f t="shared" si="37"/>
        <v>0</v>
      </c>
      <c r="P143" s="505">
        <f t="shared" si="38"/>
        <v>0</v>
      </c>
      <c r="Q143" s="244"/>
      <c r="R143" s="244"/>
      <c r="S143" s="244"/>
      <c r="T143" s="244"/>
      <c r="U143" s="244"/>
    </row>
    <row r="144" spans="2:21" ht="12.5">
      <c r="B144" s="145" t="str">
        <f t="shared" si="31"/>
        <v/>
      </c>
      <c r="C144" s="496">
        <f>IF(D94="","-",+C143+1)</f>
        <v>2055</v>
      </c>
      <c r="D144" s="350">
        <f>IF(F143+SUM(E$100:E143)=D$93,F143,D$93-SUM(E$100:E143))</f>
        <v>0</v>
      </c>
      <c r="E144" s="510">
        <f>IF(+J97&lt;F143,J97,D144)</f>
        <v>0</v>
      </c>
      <c r="F144" s="511">
        <f t="shared" si="39"/>
        <v>0</v>
      </c>
      <c r="G144" s="511">
        <f t="shared" si="32"/>
        <v>0</v>
      </c>
      <c r="H144" s="524">
        <f t="shared" si="33"/>
        <v>0</v>
      </c>
      <c r="I144" s="573">
        <f t="shared" si="34"/>
        <v>0</v>
      </c>
      <c r="J144" s="505">
        <f t="shared" si="35"/>
        <v>0</v>
      </c>
      <c r="K144" s="505"/>
      <c r="L144" s="513"/>
      <c r="M144" s="505">
        <f t="shared" si="36"/>
        <v>0</v>
      </c>
      <c r="N144" s="513"/>
      <c r="O144" s="505">
        <f t="shared" si="37"/>
        <v>0</v>
      </c>
      <c r="P144" s="505">
        <f t="shared" si="38"/>
        <v>0</v>
      </c>
      <c r="Q144" s="244"/>
      <c r="R144" s="244"/>
      <c r="S144" s="244"/>
      <c r="T144" s="244"/>
      <c r="U144" s="244"/>
    </row>
    <row r="145" spans="2:21" ht="12.5">
      <c r="B145" s="145" t="str">
        <f t="shared" si="31"/>
        <v/>
      </c>
      <c r="C145" s="496">
        <f>IF(D94="","-",+C144+1)</f>
        <v>2056</v>
      </c>
      <c r="D145" s="350">
        <f>IF(F144+SUM(E$100:E144)=D$93,F144,D$93-SUM(E$100:E144))</f>
        <v>0</v>
      </c>
      <c r="E145" s="510">
        <f>IF(+J97&lt;F144,J97,D145)</f>
        <v>0</v>
      </c>
      <c r="F145" s="511">
        <f t="shared" si="39"/>
        <v>0</v>
      </c>
      <c r="G145" s="511">
        <f t="shared" si="32"/>
        <v>0</v>
      </c>
      <c r="H145" s="524">
        <f t="shared" si="33"/>
        <v>0</v>
      </c>
      <c r="I145" s="573">
        <f t="shared" si="34"/>
        <v>0</v>
      </c>
      <c r="J145" s="505">
        <f t="shared" si="35"/>
        <v>0</v>
      </c>
      <c r="K145" s="505"/>
      <c r="L145" s="513"/>
      <c r="M145" s="505">
        <f t="shared" si="36"/>
        <v>0</v>
      </c>
      <c r="N145" s="513"/>
      <c r="O145" s="505">
        <f t="shared" si="37"/>
        <v>0</v>
      </c>
      <c r="P145" s="505">
        <f t="shared" si="38"/>
        <v>0</v>
      </c>
      <c r="Q145" s="244"/>
      <c r="R145" s="244"/>
      <c r="S145" s="244"/>
      <c r="T145" s="244"/>
      <c r="U145" s="244"/>
    </row>
    <row r="146" spans="2:21" ht="12.5">
      <c r="B146" s="145" t="str">
        <f t="shared" si="31"/>
        <v/>
      </c>
      <c r="C146" s="496">
        <f>IF(D94="","-",+C145+1)</f>
        <v>2057</v>
      </c>
      <c r="D146" s="350">
        <f>IF(F145+SUM(E$100:E145)=D$93,F145,D$93-SUM(E$100:E145))</f>
        <v>0</v>
      </c>
      <c r="E146" s="510">
        <f>IF(+J97&lt;F145,J97,D146)</f>
        <v>0</v>
      </c>
      <c r="F146" s="511">
        <f t="shared" si="39"/>
        <v>0</v>
      </c>
      <c r="G146" s="511">
        <f t="shared" si="32"/>
        <v>0</v>
      </c>
      <c r="H146" s="524">
        <f t="shared" si="33"/>
        <v>0</v>
      </c>
      <c r="I146" s="573">
        <f t="shared" si="34"/>
        <v>0</v>
      </c>
      <c r="J146" s="505">
        <f t="shared" si="35"/>
        <v>0</v>
      </c>
      <c r="K146" s="505"/>
      <c r="L146" s="513"/>
      <c r="M146" s="505">
        <f t="shared" si="36"/>
        <v>0</v>
      </c>
      <c r="N146" s="513"/>
      <c r="O146" s="505">
        <f t="shared" si="37"/>
        <v>0</v>
      </c>
      <c r="P146" s="505">
        <f t="shared" si="38"/>
        <v>0</v>
      </c>
      <c r="Q146" s="244"/>
      <c r="R146" s="244"/>
      <c r="S146" s="244"/>
      <c r="T146" s="244"/>
      <c r="U146" s="244"/>
    </row>
    <row r="147" spans="2:21" ht="12.5">
      <c r="B147" s="145" t="str">
        <f t="shared" si="31"/>
        <v/>
      </c>
      <c r="C147" s="496">
        <f>IF(D94="","-",+C146+1)</f>
        <v>2058</v>
      </c>
      <c r="D147" s="350">
        <f>IF(F146+SUM(E$100:E146)=D$93,F146,D$93-SUM(E$100:E146))</f>
        <v>0</v>
      </c>
      <c r="E147" s="510">
        <f>IF(+J97&lt;F146,J97,D147)</f>
        <v>0</v>
      </c>
      <c r="F147" s="511">
        <f t="shared" si="39"/>
        <v>0</v>
      </c>
      <c r="G147" s="511">
        <f t="shared" si="32"/>
        <v>0</v>
      </c>
      <c r="H147" s="524">
        <f t="shared" si="33"/>
        <v>0</v>
      </c>
      <c r="I147" s="573">
        <f t="shared" si="34"/>
        <v>0</v>
      </c>
      <c r="J147" s="505">
        <f t="shared" si="35"/>
        <v>0</v>
      </c>
      <c r="K147" s="505"/>
      <c r="L147" s="513"/>
      <c r="M147" s="505">
        <f t="shared" si="36"/>
        <v>0</v>
      </c>
      <c r="N147" s="513"/>
      <c r="O147" s="505">
        <f t="shared" si="37"/>
        <v>0</v>
      </c>
      <c r="P147" s="505">
        <f t="shared" si="38"/>
        <v>0</v>
      </c>
      <c r="Q147" s="244"/>
      <c r="R147" s="244"/>
      <c r="S147" s="244"/>
      <c r="T147" s="244"/>
      <c r="U147" s="244"/>
    </row>
    <row r="148" spans="2:21" ht="12.5">
      <c r="B148" s="145" t="str">
        <f t="shared" si="31"/>
        <v/>
      </c>
      <c r="C148" s="496">
        <f>IF(D94="","-",+C147+1)</f>
        <v>2059</v>
      </c>
      <c r="D148" s="350">
        <f>IF(F147+SUM(E$100:E147)=D$93,F147,D$93-SUM(E$100:E147))</f>
        <v>0</v>
      </c>
      <c r="E148" s="510">
        <f>IF(+J97&lt;F147,J97,D148)</f>
        <v>0</v>
      </c>
      <c r="F148" s="511">
        <f t="shared" si="39"/>
        <v>0</v>
      </c>
      <c r="G148" s="511">
        <f t="shared" si="32"/>
        <v>0</v>
      </c>
      <c r="H148" s="524">
        <f t="shared" si="33"/>
        <v>0</v>
      </c>
      <c r="I148" s="573">
        <f t="shared" si="34"/>
        <v>0</v>
      </c>
      <c r="J148" s="505">
        <f t="shared" si="35"/>
        <v>0</v>
      </c>
      <c r="K148" s="505"/>
      <c r="L148" s="513"/>
      <c r="M148" s="505">
        <f t="shared" si="36"/>
        <v>0</v>
      </c>
      <c r="N148" s="513"/>
      <c r="O148" s="505">
        <f t="shared" si="37"/>
        <v>0</v>
      </c>
      <c r="P148" s="505">
        <f t="shared" si="38"/>
        <v>0</v>
      </c>
      <c r="Q148" s="244"/>
      <c r="R148" s="244"/>
      <c r="S148" s="244"/>
      <c r="T148" s="244"/>
      <c r="U148" s="244"/>
    </row>
    <row r="149" spans="2:21" ht="12.5">
      <c r="B149" s="145" t="str">
        <f t="shared" si="31"/>
        <v/>
      </c>
      <c r="C149" s="496">
        <f>IF(D94="","-",+C148+1)</f>
        <v>2060</v>
      </c>
      <c r="D149" s="350">
        <f>IF(F148+SUM(E$100:E148)=D$93,F148,D$93-SUM(E$100:E148))</f>
        <v>0</v>
      </c>
      <c r="E149" s="510">
        <f>IF(+J97&lt;F148,J97,D149)</f>
        <v>0</v>
      </c>
      <c r="F149" s="511">
        <f t="shared" si="39"/>
        <v>0</v>
      </c>
      <c r="G149" s="511">
        <f t="shared" si="32"/>
        <v>0</v>
      </c>
      <c r="H149" s="524">
        <f t="shared" si="33"/>
        <v>0</v>
      </c>
      <c r="I149" s="573">
        <f t="shared" si="34"/>
        <v>0</v>
      </c>
      <c r="J149" s="505">
        <f t="shared" si="35"/>
        <v>0</v>
      </c>
      <c r="K149" s="505"/>
      <c r="L149" s="513"/>
      <c r="M149" s="505">
        <f t="shared" si="36"/>
        <v>0</v>
      </c>
      <c r="N149" s="513"/>
      <c r="O149" s="505">
        <f t="shared" si="37"/>
        <v>0</v>
      </c>
      <c r="P149" s="505">
        <f t="shared" si="38"/>
        <v>0</v>
      </c>
      <c r="Q149" s="244"/>
      <c r="R149" s="244"/>
      <c r="S149" s="244"/>
      <c r="T149" s="244"/>
      <c r="U149" s="244"/>
    </row>
    <row r="150" spans="2:21" ht="12.5">
      <c r="B150" s="145" t="str">
        <f t="shared" si="31"/>
        <v/>
      </c>
      <c r="C150" s="496">
        <f>IF(D94="","-",+C149+1)</f>
        <v>2061</v>
      </c>
      <c r="D150" s="350">
        <f>IF(F149+SUM(E$100:E149)=D$93,F149,D$93-SUM(E$100:E149))</f>
        <v>0</v>
      </c>
      <c r="E150" s="510">
        <f>IF(+J97&lt;F149,J97,D150)</f>
        <v>0</v>
      </c>
      <c r="F150" s="511">
        <f t="shared" si="39"/>
        <v>0</v>
      </c>
      <c r="G150" s="511">
        <f t="shared" si="32"/>
        <v>0</v>
      </c>
      <c r="H150" s="524">
        <f t="shared" si="33"/>
        <v>0</v>
      </c>
      <c r="I150" s="573">
        <f t="shared" si="34"/>
        <v>0</v>
      </c>
      <c r="J150" s="505">
        <f t="shared" si="35"/>
        <v>0</v>
      </c>
      <c r="K150" s="505"/>
      <c r="L150" s="513"/>
      <c r="M150" s="505">
        <f t="shared" si="36"/>
        <v>0</v>
      </c>
      <c r="N150" s="513"/>
      <c r="O150" s="505">
        <f t="shared" si="37"/>
        <v>0</v>
      </c>
      <c r="P150" s="505">
        <f t="shared" si="38"/>
        <v>0</v>
      </c>
      <c r="Q150" s="244"/>
      <c r="R150" s="244"/>
      <c r="S150" s="244"/>
      <c r="T150" s="244"/>
      <c r="U150" s="244"/>
    </row>
    <row r="151" spans="2:21" ht="12.5">
      <c r="B151" s="145" t="str">
        <f t="shared" si="31"/>
        <v/>
      </c>
      <c r="C151" s="496">
        <f>IF(D94="","-",+C150+1)</f>
        <v>2062</v>
      </c>
      <c r="D151" s="350">
        <f>IF(F150+SUM(E$100:E150)=D$93,F150,D$93-SUM(E$100:E150))</f>
        <v>0</v>
      </c>
      <c r="E151" s="510">
        <f>IF(+J97&lt;F150,J97,D151)</f>
        <v>0</v>
      </c>
      <c r="F151" s="511">
        <f t="shared" si="39"/>
        <v>0</v>
      </c>
      <c r="G151" s="511">
        <f t="shared" si="32"/>
        <v>0</v>
      </c>
      <c r="H151" s="524">
        <f t="shared" si="33"/>
        <v>0</v>
      </c>
      <c r="I151" s="573">
        <f t="shared" si="34"/>
        <v>0</v>
      </c>
      <c r="J151" s="505">
        <f t="shared" si="35"/>
        <v>0</v>
      </c>
      <c r="K151" s="505"/>
      <c r="L151" s="513"/>
      <c r="M151" s="505">
        <f t="shared" si="36"/>
        <v>0</v>
      </c>
      <c r="N151" s="513"/>
      <c r="O151" s="505">
        <f t="shared" si="37"/>
        <v>0</v>
      </c>
      <c r="P151" s="505">
        <f t="shared" si="38"/>
        <v>0</v>
      </c>
      <c r="Q151" s="244"/>
      <c r="R151" s="244"/>
      <c r="S151" s="244"/>
      <c r="T151" s="244"/>
      <c r="U151" s="244"/>
    </row>
    <row r="152" spans="2:21" ht="12.5">
      <c r="B152" s="145" t="str">
        <f t="shared" si="31"/>
        <v/>
      </c>
      <c r="C152" s="496">
        <f>IF(D94="","-",+C151+1)</f>
        <v>2063</v>
      </c>
      <c r="D152" s="350">
        <f>IF(F151+SUM(E$100:E151)=D$93,F151,D$93-SUM(E$100:E151))</f>
        <v>0</v>
      </c>
      <c r="E152" s="510">
        <f>IF(+J97&lt;F151,J97,D152)</f>
        <v>0</v>
      </c>
      <c r="F152" s="511">
        <f t="shared" si="39"/>
        <v>0</v>
      </c>
      <c r="G152" s="511">
        <f t="shared" si="32"/>
        <v>0</v>
      </c>
      <c r="H152" s="524">
        <f t="shared" si="33"/>
        <v>0</v>
      </c>
      <c r="I152" s="573">
        <f t="shared" si="34"/>
        <v>0</v>
      </c>
      <c r="J152" s="505">
        <f t="shared" si="35"/>
        <v>0</v>
      </c>
      <c r="K152" s="505"/>
      <c r="L152" s="513"/>
      <c r="M152" s="505">
        <f t="shared" si="36"/>
        <v>0</v>
      </c>
      <c r="N152" s="513"/>
      <c r="O152" s="505">
        <f t="shared" si="37"/>
        <v>0</v>
      </c>
      <c r="P152" s="505">
        <f t="shared" si="38"/>
        <v>0</v>
      </c>
      <c r="Q152" s="244"/>
      <c r="R152" s="244"/>
      <c r="S152" s="244"/>
      <c r="T152" s="244"/>
      <c r="U152" s="244"/>
    </row>
    <row r="153" spans="2:21" ht="12.5">
      <c r="B153" s="145" t="str">
        <f t="shared" si="31"/>
        <v/>
      </c>
      <c r="C153" s="496">
        <f>IF(D94="","-",+C152+1)</f>
        <v>2064</v>
      </c>
      <c r="D153" s="350">
        <f>IF(F152+SUM(E$100:E152)=D$93,F152,D$93-SUM(E$100:E152))</f>
        <v>0</v>
      </c>
      <c r="E153" s="510">
        <f>IF(+J97&lt;F152,J97,D153)</f>
        <v>0</v>
      </c>
      <c r="F153" s="511">
        <f t="shared" si="39"/>
        <v>0</v>
      </c>
      <c r="G153" s="511">
        <f t="shared" si="32"/>
        <v>0</v>
      </c>
      <c r="H153" s="524">
        <f t="shared" si="33"/>
        <v>0</v>
      </c>
      <c r="I153" s="573">
        <f t="shared" si="34"/>
        <v>0</v>
      </c>
      <c r="J153" s="505">
        <f t="shared" si="35"/>
        <v>0</v>
      </c>
      <c r="K153" s="505"/>
      <c r="L153" s="513"/>
      <c r="M153" s="505">
        <f t="shared" si="36"/>
        <v>0</v>
      </c>
      <c r="N153" s="513"/>
      <c r="O153" s="505">
        <f t="shared" si="37"/>
        <v>0</v>
      </c>
      <c r="P153" s="505">
        <f t="shared" si="38"/>
        <v>0</v>
      </c>
      <c r="Q153" s="244"/>
      <c r="R153" s="244"/>
      <c r="S153" s="244"/>
      <c r="T153" s="244"/>
      <c r="U153" s="244"/>
    </row>
    <row r="154" spans="2:21" ht="12.5">
      <c r="B154" s="145" t="str">
        <f t="shared" si="31"/>
        <v/>
      </c>
      <c r="C154" s="496">
        <f>IF(D94="","-",+C153+1)</f>
        <v>2065</v>
      </c>
      <c r="D154" s="350">
        <f>IF(F153+SUM(E$100:E153)=D$93,F153,D$93-SUM(E$100:E153))</f>
        <v>0</v>
      </c>
      <c r="E154" s="510">
        <f>IF(+J97&lt;F153,J97,D154)</f>
        <v>0</v>
      </c>
      <c r="F154" s="511">
        <f t="shared" si="39"/>
        <v>0</v>
      </c>
      <c r="G154" s="511">
        <f t="shared" si="32"/>
        <v>0</v>
      </c>
      <c r="H154" s="524">
        <f t="shared" si="33"/>
        <v>0</v>
      </c>
      <c r="I154" s="573">
        <f t="shared" si="34"/>
        <v>0</v>
      </c>
      <c r="J154" s="505">
        <f t="shared" si="35"/>
        <v>0</v>
      </c>
      <c r="K154" s="505"/>
      <c r="L154" s="513"/>
      <c r="M154" s="505">
        <f t="shared" si="36"/>
        <v>0</v>
      </c>
      <c r="N154" s="513"/>
      <c r="O154" s="505">
        <f t="shared" si="37"/>
        <v>0</v>
      </c>
      <c r="P154" s="505">
        <f t="shared" si="38"/>
        <v>0</v>
      </c>
      <c r="Q154" s="244"/>
      <c r="R154" s="244"/>
      <c r="S154" s="244"/>
      <c r="T154" s="244"/>
      <c r="U154" s="244"/>
    </row>
    <row r="155" spans="2:21" ht="13" thickBot="1">
      <c r="B155" s="145" t="str">
        <f t="shared" si="31"/>
        <v/>
      </c>
      <c r="C155" s="525">
        <f>IF(D94="","-",+C154+1)</f>
        <v>2066</v>
      </c>
      <c r="D155" s="528">
        <f>IF(F154+SUM(E$100:E154)=D$93,F154,D$93-SUM(E$100:E154))</f>
        <v>0</v>
      </c>
      <c r="E155" s="527">
        <f>IF(+J97&lt;F154,J97,D155)</f>
        <v>0</v>
      </c>
      <c r="F155" s="528">
        <f t="shared" si="39"/>
        <v>0</v>
      </c>
      <c r="G155" s="528">
        <f t="shared" si="32"/>
        <v>0</v>
      </c>
      <c r="H155" s="529">
        <f t="shared" si="33"/>
        <v>0</v>
      </c>
      <c r="I155" s="574">
        <f t="shared" si="34"/>
        <v>0</v>
      </c>
      <c r="J155" s="532">
        <f t="shared" si="35"/>
        <v>0</v>
      </c>
      <c r="K155" s="505"/>
      <c r="L155" s="531"/>
      <c r="M155" s="532">
        <f t="shared" si="36"/>
        <v>0</v>
      </c>
      <c r="N155" s="531"/>
      <c r="O155" s="532">
        <f t="shared" si="37"/>
        <v>0</v>
      </c>
      <c r="P155" s="532">
        <f t="shared" si="38"/>
        <v>0</v>
      </c>
      <c r="Q155" s="244"/>
      <c r="R155" s="244"/>
      <c r="S155" s="244"/>
      <c r="T155" s="244"/>
      <c r="U155" s="244"/>
    </row>
    <row r="156" spans="2:21" ht="12.5">
      <c r="C156" s="350" t="s">
        <v>75</v>
      </c>
      <c r="D156" s="295"/>
      <c r="E156" s="295">
        <f>SUM(E100:E155)</f>
        <v>614753.00000000012</v>
      </c>
      <c r="F156" s="295"/>
      <c r="G156" s="295"/>
      <c r="H156" s="295">
        <f>SUM(H100:H155)</f>
        <v>1871316.7843179379</v>
      </c>
      <c r="I156" s="295">
        <f>SUM(I100:I155)</f>
        <v>1871316.7843179379</v>
      </c>
      <c r="J156" s="295">
        <f>SUM(J100:J155)</f>
        <v>0</v>
      </c>
      <c r="K156" s="295"/>
      <c r="L156" s="295"/>
      <c r="M156" s="295"/>
      <c r="N156" s="295"/>
      <c r="O156" s="295"/>
      <c r="P156" s="244"/>
      <c r="Q156" s="244"/>
      <c r="R156" s="244"/>
      <c r="S156" s="244"/>
      <c r="T156" s="244"/>
      <c r="U156" s="244"/>
    </row>
    <row r="157" spans="2:21" ht="12.5">
      <c r="D157" s="293"/>
      <c r="E157" s="244"/>
      <c r="F157" s="244"/>
      <c r="G157" s="244"/>
      <c r="H157" s="244"/>
      <c r="I157" s="326"/>
      <c r="J157" s="326"/>
      <c r="K157" s="295"/>
      <c r="L157" s="326"/>
      <c r="M157" s="326"/>
      <c r="N157" s="326"/>
      <c r="O157" s="326"/>
      <c r="P157" s="244"/>
      <c r="Q157" s="244"/>
      <c r="R157" s="244"/>
      <c r="S157" s="244"/>
      <c r="T157" s="244"/>
      <c r="U157" s="244"/>
    </row>
    <row r="158" spans="2:21" ht="12.5">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ht="12.5">
      <c r="D159" s="293"/>
      <c r="E159" s="244"/>
      <c r="F159" s="244"/>
      <c r="G159" s="244"/>
      <c r="H159" s="244"/>
      <c r="I159" s="326"/>
      <c r="J159" s="326"/>
      <c r="K159" s="295"/>
      <c r="L159" s="326"/>
      <c r="M159" s="326"/>
      <c r="N159" s="326"/>
      <c r="O159" s="326"/>
      <c r="P159" s="244"/>
      <c r="Q159" s="244"/>
      <c r="R159" s="244"/>
      <c r="S159" s="244"/>
      <c r="T159" s="244"/>
      <c r="U159" s="244"/>
    </row>
    <row r="160" spans="2:21" ht="13">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ht="13">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phoneticPr fontId="0" type="noConversion"/>
  <conditionalFormatting sqref="C17:C73">
    <cfRule type="cellIs" dxfId="43" priority="1" stopIfTrue="1" operator="equal">
      <formula>$I$10</formula>
    </cfRule>
  </conditionalFormatting>
  <conditionalFormatting sqref="C100:C155">
    <cfRule type="cellIs" dxfId="42"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2">
    <tabColor rgb="FF92D050"/>
  </sheetPr>
  <dimension ref="A1:U163"/>
  <sheetViews>
    <sheetView view="pageBreakPreview" zoomScale="90" zoomScaleNormal="100" zoomScaleSheetLayoutView="90" workbookViewId="0">
      <selection activeCell="D10" sqref="D10"/>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"&amp;RIGHT(MID(CELL("filename",$A$1),FIND("]",CELL("filename",$A$1))+1,256),1)&amp;" of "&amp;COUNT('OKT.001:OKT.xyz - blank'!$P$3)-1</f>
        <v>OKT Project 4 of 19</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c r="P3" s="578">
        <v>1</v>
      </c>
      <c r="R3" s="244"/>
      <c r="S3" s="244"/>
      <c r="T3" s="244"/>
      <c r="U3" s="244"/>
    </row>
    <row r="4" spans="1:21" ht="16" thickBot="1">
      <c r="C4" s="591" t="s">
        <v>237</v>
      </c>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1296634.8001552834</v>
      </c>
      <c r="P5" s="244"/>
      <c r="R5" s="244"/>
      <c r="S5" s="244"/>
      <c r="T5" s="244"/>
      <c r="U5" s="244"/>
    </row>
    <row r="6" spans="1:21" ht="15.5">
      <c r="C6" s="592" t="s">
        <v>238</v>
      </c>
      <c r="D6" s="293"/>
      <c r="E6" s="244"/>
      <c r="F6" s="244"/>
      <c r="G6" s="244"/>
      <c r="H6" s="450"/>
      <c r="I6" s="450"/>
      <c r="J6" s="451"/>
      <c r="K6" s="452" t="s">
        <v>243</v>
      </c>
      <c r="L6" s="453"/>
      <c r="M6" s="279"/>
      <c r="N6" s="454">
        <f>VLOOKUP(I10,C17:I73,6)</f>
        <v>1296634.8001552834</v>
      </c>
      <c r="O6" s="244"/>
      <c r="P6" s="244"/>
      <c r="R6" s="244"/>
      <c r="S6" s="244"/>
      <c r="T6" s="244"/>
      <c r="U6" s="244"/>
    </row>
    <row r="7" spans="1:21" ht="13.5" thickBot="1">
      <c r="C7" s="455" t="s">
        <v>46</v>
      </c>
      <c r="D7" s="456" t="s">
        <v>201</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A9" s="152"/>
      <c r="C9" s="464" t="s">
        <v>48</v>
      </c>
      <c r="D9" s="465" t="s">
        <v>200</v>
      </c>
      <c r="E9" s="466"/>
      <c r="F9" s="466"/>
      <c r="G9" s="466"/>
      <c r="H9" s="466"/>
      <c r="I9" s="467"/>
      <c r="J9" s="468"/>
      <c r="O9" s="469"/>
      <c r="P9" s="279"/>
      <c r="R9" s="244"/>
      <c r="S9" s="244"/>
      <c r="T9" s="244"/>
      <c r="U9" s="244"/>
    </row>
    <row r="10" spans="1:21" ht="13">
      <c r="C10" s="470" t="s">
        <v>49</v>
      </c>
      <c r="D10" s="471">
        <f>11742800*94%</f>
        <v>11038232</v>
      </c>
      <c r="E10" s="300" t="s">
        <v>50</v>
      </c>
      <c r="F10" s="469"/>
      <c r="G10" s="409"/>
      <c r="H10" s="409"/>
      <c r="I10" s="472">
        <f>+OKT.WS.F.BPU.ATRR.Projected!R100</f>
        <v>2019</v>
      </c>
      <c r="J10" s="468"/>
      <c r="K10" s="295" t="s">
        <v>51</v>
      </c>
      <c r="O10" s="279"/>
      <c r="P10" s="279"/>
      <c r="R10" s="244"/>
      <c r="S10" s="244"/>
      <c r="T10" s="244"/>
      <c r="U10" s="244"/>
    </row>
    <row r="11" spans="1:21" ht="12.5">
      <c r="C11" s="473" t="s">
        <v>52</v>
      </c>
      <c r="D11" s="474">
        <v>2011</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6</v>
      </c>
      <c r="E12" s="473" t="s">
        <v>55</v>
      </c>
      <c r="F12" s="409"/>
      <c r="G12" s="221"/>
      <c r="H12" s="221"/>
      <c r="I12" s="477">
        <f>OKT.WS.F.BPU.ATRR.Projected!$F$78</f>
        <v>0.11749102697326873</v>
      </c>
      <c r="J12" s="579"/>
      <c r="K12" s="145" t="s">
        <v>56</v>
      </c>
      <c r="O12" s="279"/>
      <c r="P12" s="279"/>
      <c r="R12" s="244"/>
      <c r="S12" s="244"/>
      <c r="T12" s="244"/>
      <c r="U12" s="244"/>
    </row>
    <row r="13" spans="1:21" ht="12.5">
      <c r="C13" s="473" t="s">
        <v>57</v>
      </c>
      <c r="D13" s="475">
        <f>OKT.WS.F.BPU.ATRR.Projected!F89</f>
        <v>41</v>
      </c>
      <c r="E13" s="473" t="s">
        <v>58</v>
      </c>
      <c r="F13" s="409"/>
      <c r="G13" s="221"/>
      <c r="H13" s="221"/>
      <c r="I13" s="477">
        <f>IF(G5="",I12,OKT.WS.F.BPU.ATRR.Projected!$F$77)</f>
        <v>0.11749102697326873</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269225.1707317073</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49" si="0">IF(D17=F16,"","IU")</f>
        <v>IU</v>
      </c>
      <c r="C17" s="581">
        <f>IF(D11= "","-",D11)</f>
        <v>2011</v>
      </c>
      <c r="D17" s="497">
        <v>12876000</v>
      </c>
      <c r="E17" s="498">
        <v>18562.052446566122</v>
      </c>
      <c r="F17" s="497">
        <v>12857437.947553433</v>
      </c>
      <c r="G17" s="499">
        <v>1690105.6704770608</v>
      </c>
      <c r="H17" s="500">
        <v>1690105.6704770608</v>
      </c>
      <c r="I17" s="585">
        <f t="shared" ref="I17:I49" si="1">H17-G17</f>
        <v>0</v>
      </c>
      <c r="J17" s="351"/>
      <c r="K17" s="593">
        <f t="shared" ref="K17:K22" si="2">G17</f>
        <v>1690105.6704770608</v>
      </c>
      <c r="L17" s="594">
        <f t="shared" ref="L17:L49" si="3">IF(K17&lt;&gt;0,+G17-K17,0)</f>
        <v>0</v>
      </c>
      <c r="M17" s="593">
        <f t="shared" ref="M17:M22" si="4">H17</f>
        <v>1690105.6704770608</v>
      </c>
      <c r="N17" s="595">
        <f t="shared" ref="N17:N49" si="5">IF(M17&lt;&gt;0,+H17-M17,0)</f>
        <v>0</v>
      </c>
      <c r="O17" s="596">
        <f t="shared" ref="O17:O49" si="6">+N17-L17</f>
        <v>0</v>
      </c>
      <c r="P17" s="279"/>
      <c r="R17" s="244"/>
      <c r="S17" s="244"/>
      <c r="T17" s="244"/>
      <c r="U17" s="244"/>
    </row>
    <row r="18" spans="2:21" ht="12.5">
      <c r="B18" s="145" t="str">
        <f t="shared" si="0"/>
        <v/>
      </c>
      <c r="C18" s="496">
        <f>IF(D11="","-",+C17+1)</f>
        <v>2012</v>
      </c>
      <c r="D18" s="506">
        <v>12857437.947553433</v>
      </c>
      <c r="E18" s="499">
        <v>203958.10236185769</v>
      </c>
      <c r="F18" s="506">
        <v>12653479.845191576</v>
      </c>
      <c r="G18" s="499">
        <v>1426879.3827639234</v>
      </c>
      <c r="H18" s="500">
        <v>1426879.3827639234</v>
      </c>
      <c r="I18" s="501">
        <v>0</v>
      </c>
      <c r="J18" s="351"/>
      <c r="K18" s="593">
        <f t="shared" si="2"/>
        <v>1426879.3827639234</v>
      </c>
      <c r="L18" s="597">
        <f t="shared" si="3"/>
        <v>0</v>
      </c>
      <c r="M18" s="593">
        <f t="shared" si="4"/>
        <v>1426879.3827639234</v>
      </c>
      <c r="N18" s="595">
        <f t="shared" si="5"/>
        <v>0</v>
      </c>
      <c r="O18" s="597">
        <f t="shared" si="6"/>
        <v>0</v>
      </c>
      <c r="P18" s="279"/>
      <c r="R18" s="244"/>
      <c r="S18" s="244"/>
      <c r="T18" s="244"/>
      <c r="U18" s="244"/>
    </row>
    <row r="19" spans="2:21" ht="12.5">
      <c r="B19" s="145" t="str">
        <f t="shared" si="0"/>
        <v>IU</v>
      </c>
      <c r="C19" s="496">
        <f>IF(D11="","-",+C18+1)</f>
        <v>2013</v>
      </c>
      <c r="D19" s="506">
        <v>11520279.845191576</v>
      </c>
      <c r="E19" s="499">
        <v>203141.16446368746</v>
      </c>
      <c r="F19" s="506">
        <v>11317138.680727888</v>
      </c>
      <c r="G19" s="499">
        <v>1439439.106345837</v>
      </c>
      <c r="H19" s="500">
        <v>1439439.106345837</v>
      </c>
      <c r="I19" s="585">
        <v>0</v>
      </c>
      <c r="J19" s="351"/>
      <c r="K19" s="593">
        <f t="shared" si="2"/>
        <v>1439439.106345837</v>
      </c>
      <c r="L19" s="597">
        <f t="shared" ref="L19:L24" si="7">IF(K19&lt;&gt;0,+G19-K19,0)</f>
        <v>0</v>
      </c>
      <c r="M19" s="593">
        <f t="shared" si="4"/>
        <v>1439439.106345837</v>
      </c>
      <c r="N19" s="595">
        <f>IF(M19&lt;&gt;0,+H19-M19,0)</f>
        <v>0</v>
      </c>
      <c r="O19" s="597">
        <f>+N19-L19</f>
        <v>0</v>
      </c>
      <c r="P19" s="279"/>
      <c r="R19" s="244"/>
      <c r="S19" s="244"/>
      <c r="T19" s="244"/>
      <c r="U19" s="244"/>
    </row>
    <row r="20" spans="2:21" ht="12.5">
      <c r="B20" s="145" t="str">
        <f t="shared" si="0"/>
        <v/>
      </c>
      <c r="C20" s="496">
        <f>IF(D11="","-",+C19+1)</f>
        <v>2014</v>
      </c>
      <c r="D20" s="506">
        <v>11317138.680727888</v>
      </c>
      <c r="E20" s="499">
        <v>203141.16446368746</v>
      </c>
      <c r="F20" s="506">
        <v>11113997.5162642</v>
      </c>
      <c r="G20" s="499">
        <v>1425984.6077299202</v>
      </c>
      <c r="H20" s="500">
        <v>1425984.6077299202</v>
      </c>
      <c r="I20" s="501">
        <v>0</v>
      </c>
      <c r="J20" s="501"/>
      <c r="K20" s="593">
        <f t="shared" si="2"/>
        <v>1425984.6077299202</v>
      </c>
      <c r="L20" s="597">
        <f t="shared" si="7"/>
        <v>0</v>
      </c>
      <c r="M20" s="593">
        <f t="shared" si="4"/>
        <v>1425984.6077299202</v>
      </c>
      <c r="N20" s="595">
        <f>IF(M20&lt;&gt;0,+H20-M20,0)</f>
        <v>0</v>
      </c>
      <c r="O20" s="597">
        <f>+N20-L20</f>
        <v>0</v>
      </c>
      <c r="P20" s="279"/>
      <c r="R20" s="244"/>
      <c r="S20" s="244"/>
      <c r="T20" s="244"/>
      <c r="U20" s="244"/>
    </row>
    <row r="21" spans="2:21" ht="12.5">
      <c r="B21" s="145" t="str">
        <f t="shared" si="0"/>
        <v/>
      </c>
      <c r="C21" s="496">
        <f>IF(D12="","-",+C20+1)</f>
        <v>2015</v>
      </c>
      <c r="D21" s="506">
        <v>11113997.5162642</v>
      </c>
      <c r="E21" s="499">
        <v>203141.16446368746</v>
      </c>
      <c r="F21" s="506">
        <v>10910856.351800513</v>
      </c>
      <c r="G21" s="499">
        <v>1327673.3550101635</v>
      </c>
      <c r="H21" s="500">
        <v>1327673.3550101635</v>
      </c>
      <c r="I21" s="501">
        <v>0</v>
      </c>
      <c r="J21" s="501"/>
      <c r="K21" s="593">
        <f t="shared" si="2"/>
        <v>1327673.3550101635</v>
      </c>
      <c r="L21" s="597">
        <f t="shared" si="7"/>
        <v>0</v>
      </c>
      <c r="M21" s="593">
        <f t="shared" si="4"/>
        <v>1327673.3550101635</v>
      </c>
      <c r="N21" s="595">
        <f>IF(M21&lt;&gt;0,+H21-M21,0)</f>
        <v>0</v>
      </c>
      <c r="O21" s="597">
        <f>+N21-L21</f>
        <v>0</v>
      </c>
      <c r="P21" s="279"/>
      <c r="R21" s="244"/>
      <c r="S21" s="244"/>
      <c r="T21" s="244"/>
      <c r="U21" s="244"/>
    </row>
    <row r="22" spans="2:21" ht="12.5">
      <c r="B22" s="145" t="str">
        <f>IF(D22=F21,"","IU")</f>
        <v>IU</v>
      </c>
      <c r="C22" s="496">
        <f>IF(D11="","-",+C21+1)</f>
        <v>2016</v>
      </c>
      <c r="D22" s="506">
        <v>10206288.351800514</v>
      </c>
      <c r="E22" s="499">
        <v>229368.43576510914</v>
      </c>
      <c r="F22" s="506">
        <v>9976919.9160354044</v>
      </c>
      <c r="G22" s="499">
        <v>1305682.2485042256</v>
      </c>
      <c r="H22" s="500">
        <v>1305682.2485042256</v>
      </c>
      <c r="I22" s="501">
        <f t="shared" si="1"/>
        <v>0</v>
      </c>
      <c r="J22" s="501"/>
      <c r="K22" s="593">
        <f t="shared" si="2"/>
        <v>1305682.2485042256</v>
      </c>
      <c r="L22" s="597">
        <f t="shared" si="7"/>
        <v>0</v>
      </c>
      <c r="M22" s="593">
        <f t="shared" si="4"/>
        <v>1305682.2485042256</v>
      </c>
      <c r="N22" s="505">
        <f t="shared" si="5"/>
        <v>0</v>
      </c>
      <c r="O22" s="505">
        <f t="shared" si="6"/>
        <v>0</v>
      </c>
      <c r="P22" s="279"/>
      <c r="R22" s="244"/>
      <c r="S22" s="244"/>
      <c r="T22" s="244"/>
      <c r="U22" s="244"/>
    </row>
    <row r="23" spans="2:21" ht="12.5">
      <c r="B23" s="145" t="str">
        <f t="shared" si="0"/>
        <v/>
      </c>
      <c r="C23" s="496">
        <f>IF(D11="","-",+C22+1)</f>
        <v>2017</v>
      </c>
      <c r="D23" s="506">
        <v>9976919.9160354044</v>
      </c>
      <c r="E23" s="499">
        <v>217033.49443183315</v>
      </c>
      <c r="F23" s="506">
        <v>9759886.4216035716</v>
      </c>
      <c r="G23" s="499">
        <v>1301965.4660054925</v>
      </c>
      <c r="H23" s="500">
        <v>1301965.4660054925</v>
      </c>
      <c r="I23" s="501">
        <f t="shared" si="1"/>
        <v>0</v>
      </c>
      <c r="J23" s="501"/>
      <c r="K23" s="593">
        <f>G23</f>
        <v>1301965.4660054925</v>
      </c>
      <c r="L23" s="597">
        <f t="shared" si="7"/>
        <v>0</v>
      </c>
      <c r="M23" s="593">
        <f>H23</f>
        <v>1301965.4660054925</v>
      </c>
      <c r="N23" s="505">
        <f>IF(M23&lt;&gt;0,+H23-M23,0)</f>
        <v>0</v>
      </c>
      <c r="O23" s="505">
        <f>+N23-L23</f>
        <v>0</v>
      </c>
      <c r="P23" s="279"/>
      <c r="R23" s="244"/>
      <c r="S23" s="244"/>
      <c r="T23" s="244"/>
      <c r="U23" s="244"/>
    </row>
    <row r="24" spans="2:21" ht="12.5">
      <c r="B24" s="145" t="str">
        <f t="shared" si="0"/>
        <v/>
      </c>
      <c r="C24" s="496">
        <f>IF(D11="","-",+C23+1)</f>
        <v>2018</v>
      </c>
      <c r="D24" s="506">
        <v>9759886.4216035716</v>
      </c>
      <c r="E24" s="499">
        <v>270708.0251158927</v>
      </c>
      <c r="F24" s="506">
        <v>9489178.3964876793</v>
      </c>
      <c r="G24" s="499">
        <v>1248788.1344461204</v>
      </c>
      <c r="H24" s="500">
        <v>1248788.1344461204</v>
      </c>
      <c r="I24" s="501">
        <v>0</v>
      </c>
      <c r="J24" s="501"/>
      <c r="K24" s="593">
        <f>G24</f>
        <v>1248788.1344461204</v>
      </c>
      <c r="L24" s="597">
        <f t="shared" si="7"/>
        <v>0</v>
      </c>
      <c r="M24" s="593">
        <f>H24</f>
        <v>1248788.1344461204</v>
      </c>
      <c r="N24" s="505">
        <f>IF(M24&lt;&gt;0,+H24-M24,0)</f>
        <v>0</v>
      </c>
      <c r="O24" s="505">
        <f>+N24-L24</f>
        <v>0</v>
      </c>
      <c r="P24" s="279"/>
      <c r="R24" s="244"/>
      <c r="S24" s="244"/>
      <c r="T24" s="244"/>
      <c r="U24" s="244"/>
    </row>
    <row r="25" spans="2:21" ht="12.5">
      <c r="B25" s="145" t="str">
        <f t="shared" si="0"/>
        <v/>
      </c>
      <c r="C25" s="496">
        <f>IF(D11="","-",+C24+1)</f>
        <v>2019</v>
      </c>
      <c r="D25" s="509">
        <v>9489178.3964876793</v>
      </c>
      <c r="E25" s="510">
        <v>327381.233179364</v>
      </c>
      <c r="F25" s="511">
        <v>9161797.163308315</v>
      </c>
      <c r="G25" s="512">
        <v>1296634.8001552834</v>
      </c>
      <c r="H25" s="478">
        <v>1296634.8001552834</v>
      </c>
      <c r="I25" s="501">
        <f t="shared" si="1"/>
        <v>0</v>
      </c>
      <c r="J25" s="501"/>
      <c r="K25" s="593">
        <f>G25</f>
        <v>1296634.8001552834</v>
      </c>
      <c r="L25" s="597">
        <f t="shared" ref="L25" si="8">IF(K25&lt;&gt;0,+G25-K25,0)</f>
        <v>0</v>
      </c>
      <c r="M25" s="593">
        <f>H25</f>
        <v>1296634.8001552834</v>
      </c>
      <c r="N25" s="505">
        <f>IF(M25&lt;&gt;0,+H25-M25,0)</f>
        <v>0</v>
      </c>
      <c r="O25" s="505">
        <f>+N25-L25</f>
        <v>0</v>
      </c>
      <c r="P25" s="279"/>
      <c r="R25" s="244"/>
      <c r="S25" s="244"/>
      <c r="T25" s="244"/>
      <c r="U25" s="244"/>
    </row>
    <row r="26" spans="2:21" ht="12.5">
      <c r="B26" s="145" t="str">
        <f t="shared" si="0"/>
        <v/>
      </c>
      <c r="C26" s="496">
        <f>IF(D11="","-",+C25+1)</f>
        <v>2020</v>
      </c>
      <c r="D26" s="509">
        <f>IF(F25+SUM(E$17:E25)=D$10,F25,D$10-SUM(E$17:E25))</f>
        <v>9161797.163308315</v>
      </c>
      <c r="E26" s="510">
        <f>IF(+I14&lt;F25,I14,D26)</f>
        <v>269225.1707317073</v>
      </c>
      <c r="F26" s="511">
        <f t="shared" ref="F26:F49" si="9">+D26-E26</f>
        <v>8892571.9925766084</v>
      </c>
      <c r="G26" s="512">
        <f t="shared" ref="G26:G73" si="10">(D26+F26)/2*I$12+E26</f>
        <v>1329838.3574714204</v>
      </c>
      <c r="H26" s="478">
        <f t="shared" ref="H26:H73" si="11">+(D26+F26)/2*I$13+E26</f>
        <v>1329838.3574714204</v>
      </c>
      <c r="I26" s="501">
        <f t="shared" si="1"/>
        <v>0</v>
      </c>
      <c r="J26" s="501"/>
      <c r="K26" s="513"/>
      <c r="L26" s="505">
        <f t="shared" si="3"/>
        <v>0</v>
      </c>
      <c r="M26" s="513"/>
      <c r="N26" s="505">
        <f t="shared" si="5"/>
        <v>0</v>
      </c>
      <c r="O26" s="505">
        <f t="shared" si="6"/>
        <v>0</v>
      </c>
      <c r="P26" s="279"/>
      <c r="R26" s="244"/>
      <c r="S26" s="244"/>
      <c r="T26" s="244"/>
      <c r="U26" s="244"/>
    </row>
    <row r="27" spans="2:21" ht="12.5">
      <c r="B27" s="145" t="str">
        <f t="shared" si="0"/>
        <v/>
      </c>
      <c r="C27" s="496">
        <f>IF(D11="","-",+C26+1)</f>
        <v>2021</v>
      </c>
      <c r="D27" s="509">
        <f>IF(F26+SUM(E$17:E26)=D$10,F26,D$10-SUM(E$17:E26))</f>
        <v>8892571.9925766084</v>
      </c>
      <c r="E27" s="510">
        <f>IF(+I14&lt;F26,I14,D27)</f>
        <v>269225.1707317073</v>
      </c>
      <c r="F27" s="511">
        <f t="shared" si="9"/>
        <v>8623346.8218449019</v>
      </c>
      <c r="G27" s="512">
        <f t="shared" si="10"/>
        <v>1298206.8156750989</v>
      </c>
      <c r="H27" s="478">
        <f t="shared" si="11"/>
        <v>1298206.8156750989</v>
      </c>
      <c r="I27" s="501">
        <f t="shared" si="1"/>
        <v>0</v>
      </c>
      <c r="J27" s="501"/>
      <c r="K27" s="513"/>
      <c r="L27" s="505">
        <f t="shared" si="3"/>
        <v>0</v>
      </c>
      <c r="M27" s="513"/>
      <c r="N27" s="505">
        <f t="shared" si="5"/>
        <v>0</v>
      </c>
      <c r="O27" s="505">
        <f t="shared" si="6"/>
        <v>0</v>
      </c>
      <c r="P27" s="279"/>
      <c r="R27" s="244"/>
      <c r="S27" s="244"/>
      <c r="T27" s="244"/>
      <c r="U27" s="244"/>
    </row>
    <row r="28" spans="2:21" ht="12.5">
      <c r="B28" s="145" t="str">
        <f t="shared" si="0"/>
        <v/>
      </c>
      <c r="C28" s="496">
        <f>IF(D11="","-",+C27+1)</f>
        <v>2022</v>
      </c>
      <c r="D28" s="509">
        <f>IF(F27+SUM(E$17:E27)=D$10,F27,D$10-SUM(E$17:E27))</f>
        <v>8623346.8218449019</v>
      </c>
      <c r="E28" s="510">
        <f>IF(+I14&lt;F27,I14,D28)</f>
        <v>269225.1707317073</v>
      </c>
      <c r="F28" s="511">
        <f t="shared" si="9"/>
        <v>8354121.6511131944</v>
      </c>
      <c r="G28" s="512">
        <f t="shared" si="10"/>
        <v>1266575.2738787767</v>
      </c>
      <c r="H28" s="478">
        <f t="shared" si="11"/>
        <v>1266575.2738787767</v>
      </c>
      <c r="I28" s="501">
        <f t="shared" si="1"/>
        <v>0</v>
      </c>
      <c r="J28" s="501"/>
      <c r="K28" s="513"/>
      <c r="L28" s="505">
        <f t="shared" si="3"/>
        <v>0</v>
      </c>
      <c r="M28" s="513"/>
      <c r="N28" s="505">
        <f t="shared" si="5"/>
        <v>0</v>
      </c>
      <c r="O28" s="505">
        <f t="shared" si="6"/>
        <v>0</v>
      </c>
      <c r="P28" s="279"/>
      <c r="R28" s="244"/>
      <c r="S28" s="244"/>
      <c r="T28" s="244"/>
      <c r="U28" s="244"/>
    </row>
    <row r="29" spans="2:21" ht="12.5">
      <c r="B29" s="145" t="str">
        <f t="shared" si="0"/>
        <v/>
      </c>
      <c r="C29" s="496">
        <f>IF(D11="","-",+C28+1)</f>
        <v>2023</v>
      </c>
      <c r="D29" s="509">
        <f>IF(F28+SUM(E$17:E28)=D$10,F28,D$10-SUM(E$17:E28))</f>
        <v>8354121.6511131944</v>
      </c>
      <c r="E29" s="510">
        <f>IF(+I14&lt;F28,I14,D29)</f>
        <v>269225.1707317073</v>
      </c>
      <c r="F29" s="511">
        <f t="shared" si="9"/>
        <v>8084896.4803814869</v>
      </c>
      <c r="G29" s="512">
        <f t="shared" si="10"/>
        <v>1234943.732082455</v>
      </c>
      <c r="H29" s="478">
        <f t="shared" si="11"/>
        <v>1234943.732082455</v>
      </c>
      <c r="I29" s="501">
        <f t="shared" si="1"/>
        <v>0</v>
      </c>
      <c r="J29" s="501"/>
      <c r="K29" s="513"/>
      <c r="L29" s="505">
        <f t="shared" si="3"/>
        <v>0</v>
      </c>
      <c r="M29" s="513"/>
      <c r="N29" s="505">
        <f t="shared" si="5"/>
        <v>0</v>
      </c>
      <c r="O29" s="505">
        <f t="shared" si="6"/>
        <v>0</v>
      </c>
      <c r="P29" s="279"/>
      <c r="R29" s="244"/>
      <c r="S29" s="244"/>
      <c r="T29" s="244"/>
      <c r="U29" s="244"/>
    </row>
    <row r="30" spans="2:21" ht="12.5">
      <c r="B30" s="145" t="str">
        <f t="shared" si="0"/>
        <v/>
      </c>
      <c r="C30" s="496">
        <f>IF(D11="","-",+C29+1)</f>
        <v>2024</v>
      </c>
      <c r="D30" s="509">
        <f>IF(F29+SUM(E$17:E29)=D$10,F29,D$10-SUM(E$17:E29))</f>
        <v>8084896.4803814869</v>
      </c>
      <c r="E30" s="510">
        <f>IF(+I14&lt;F29,I14,D30)</f>
        <v>269225.1707317073</v>
      </c>
      <c r="F30" s="511">
        <f t="shared" si="9"/>
        <v>7815671.3096497795</v>
      </c>
      <c r="G30" s="512">
        <f t="shared" si="10"/>
        <v>1203312.190286133</v>
      </c>
      <c r="H30" s="478">
        <f t="shared" si="11"/>
        <v>1203312.190286133</v>
      </c>
      <c r="I30" s="501">
        <f t="shared" si="1"/>
        <v>0</v>
      </c>
      <c r="J30" s="501"/>
      <c r="K30" s="513"/>
      <c r="L30" s="505">
        <f t="shared" si="3"/>
        <v>0</v>
      </c>
      <c r="M30" s="513"/>
      <c r="N30" s="505">
        <f t="shared" si="5"/>
        <v>0</v>
      </c>
      <c r="O30" s="505">
        <f t="shared" si="6"/>
        <v>0</v>
      </c>
      <c r="P30" s="279"/>
      <c r="R30" s="244"/>
      <c r="S30" s="244"/>
      <c r="T30" s="244"/>
      <c r="U30" s="244"/>
    </row>
    <row r="31" spans="2:21" ht="12.5">
      <c r="B31" s="145" t="str">
        <f t="shared" si="0"/>
        <v/>
      </c>
      <c r="C31" s="496">
        <f>IF(D11="","-",+C30+1)</f>
        <v>2025</v>
      </c>
      <c r="D31" s="509">
        <f>IF(F30+SUM(E$17:E30)=D$10,F30,D$10-SUM(E$17:E30))</f>
        <v>7815671.3096497795</v>
      </c>
      <c r="E31" s="598">
        <f>IF(+I14&lt;F30,I14,D31)</f>
        <v>269225.1707317073</v>
      </c>
      <c r="F31" s="511">
        <f>+D31-E31</f>
        <v>7546446.138918072</v>
      </c>
      <c r="G31" s="512">
        <f t="shared" si="10"/>
        <v>1171680.6484898112</v>
      </c>
      <c r="H31" s="478">
        <f t="shared" si="11"/>
        <v>1171680.6484898112</v>
      </c>
      <c r="I31" s="501">
        <f>H31-G31</f>
        <v>0</v>
      </c>
      <c r="J31" s="501"/>
      <c r="K31" s="513"/>
      <c r="L31" s="505">
        <f>IF(K31&lt;&gt;0,+G31-K31,0)</f>
        <v>0</v>
      </c>
      <c r="M31" s="513"/>
      <c r="N31" s="505">
        <f>IF(M31&lt;&gt;0,+H31-M31,0)</f>
        <v>0</v>
      </c>
      <c r="O31" s="505">
        <f>+N31-L31</f>
        <v>0</v>
      </c>
      <c r="P31" s="279"/>
      <c r="Q31" s="221"/>
      <c r="R31" s="279"/>
      <c r="S31" s="279"/>
      <c r="T31" s="279"/>
      <c r="U31" s="244"/>
    </row>
    <row r="32" spans="2:21" ht="12.5">
      <c r="B32" s="145" t="str">
        <f t="shared" si="0"/>
        <v/>
      </c>
      <c r="C32" s="496">
        <f>IF(D12="","-",+C31+1)</f>
        <v>2026</v>
      </c>
      <c r="D32" s="509">
        <f>IF(F31+SUM(E$17:E31)=D$10,F31,D$10-SUM(E$17:E31))</f>
        <v>7546446.138918072</v>
      </c>
      <c r="E32" s="598">
        <f>IF(+I14&lt;F31,I14,D32)</f>
        <v>269225.1707317073</v>
      </c>
      <c r="F32" s="511">
        <f>+D32-E32</f>
        <v>7277220.9681863645</v>
      </c>
      <c r="G32" s="512">
        <f t="shared" si="10"/>
        <v>1140049.106693489</v>
      </c>
      <c r="H32" s="478">
        <f t="shared" si="11"/>
        <v>1140049.106693489</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0"/>
        <v/>
      </c>
      <c r="C33" s="496">
        <f>IF(D13="","-",+C32+1)</f>
        <v>2027</v>
      </c>
      <c r="D33" s="509">
        <f>IF(F32+SUM(E$17:E32)=D$10,F32,D$10-SUM(E$17:E32))</f>
        <v>7277220.9681863645</v>
      </c>
      <c r="E33" s="510">
        <f>IF(+I14&lt;F31,I14,D33)</f>
        <v>269225.1707317073</v>
      </c>
      <c r="F33" s="511">
        <f>+D33-E33</f>
        <v>7007995.797454657</v>
      </c>
      <c r="G33" s="512">
        <f t="shared" si="10"/>
        <v>1108417.5648971673</v>
      </c>
      <c r="H33" s="478">
        <f t="shared" si="11"/>
        <v>1108417.5648971673</v>
      </c>
      <c r="I33" s="501">
        <f>H33-G33</f>
        <v>0</v>
      </c>
      <c r="J33" s="501"/>
      <c r="K33" s="513"/>
      <c r="L33" s="505">
        <f>IF(K33&lt;&gt;0,+G33-K33,0)</f>
        <v>0</v>
      </c>
      <c r="M33" s="513"/>
      <c r="N33" s="505">
        <f>IF(M33&lt;&gt;0,+H33-M33,0)</f>
        <v>0</v>
      </c>
      <c r="O33" s="505">
        <f>+N33-L33</f>
        <v>0</v>
      </c>
      <c r="P33" s="279"/>
      <c r="R33" s="244"/>
      <c r="S33" s="244"/>
      <c r="T33" s="244"/>
      <c r="U33" s="244"/>
    </row>
    <row r="34" spans="2:21" ht="12.5">
      <c r="B34" s="145" t="str">
        <f t="shared" si="0"/>
        <v/>
      </c>
      <c r="C34" s="514">
        <f>IF(D11="","-",+C33+1)</f>
        <v>2028</v>
      </c>
      <c r="D34" s="515">
        <f>IF(F33+SUM(E$17:E33)=D$10,F33,D$10-SUM(E$17:E33))</f>
        <v>7007995.797454657</v>
      </c>
      <c r="E34" s="516">
        <f>IF(+I14&lt;F33,I14,D34)</f>
        <v>269225.1707317073</v>
      </c>
      <c r="F34" s="517">
        <f t="shared" si="9"/>
        <v>6738770.6267229496</v>
      </c>
      <c r="G34" s="518">
        <f t="shared" si="10"/>
        <v>1076786.0231008453</v>
      </c>
      <c r="H34" s="519">
        <f t="shared" si="11"/>
        <v>1076786.0231008453</v>
      </c>
      <c r="I34" s="520">
        <f t="shared" si="1"/>
        <v>0</v>
      </c>
      <c r="J34" s="520"/>
      <c r="K34" s="521"/>
      <c r="L34" s="522">
        <f t="shared" si="3"/>
        <v>0</v>
      </c>
      <c r="M34" s="521"/>
      <c r="N34" s="522">
        <f t="shared" si="5"/>
        <v>0</v>
      </c>
      <c r="O34" s="522">
        <f t="shared" si="6"/>
        <v>0</v>
      </c>
      <c r="P34" s="523"/>
      <c r="Q34" s="217"/>
      <c r="R34" s="523"/>
      <c r="S34" s="523"/>
      <c r="T34" s="523"/>
      <c r="U34" s="244"/>
    </row>
    <row r="35" spans="2:21" ht="12.5">
      <c r="B35" s="145" t="str">
        <f t="shared" si="0"/>
        <v/>
      </c>
      <c r="C35" s="496">
        <f>IF(D11="","-",+C34+1)</f>
        <v>2029</v>
      </c>
      <c r="D35" s="509">
        <f>IF(F34+SUM(E$17:E34)=D$10,F34,D$10-SUM(E$17:E34))</f>
        <v>6738770.6267229496</v>
      </c>
      <c r="E35" s="510">
        <f>IF(+I14&lt;F34,I14,D35)</f>
        <v>269225.1707317073</v>
      </c>
      <c r="F35" s="511">
        <f t="shared" si="9"/>
        <v>6469545.4559912421</v>
      </c>
      <c r="G35" s="512">
        <f t="shared" si="10"/>
        <v>1045154.4813045235</v>
      </c>
      <c r="H35" s="478">
        <f t="shared" si="11"/>
        <v>1045154.4813045235</v>
      </c>
      <c r="I35" s="501">
        <f t="shared" si="1"/>
        <v>0</v>
      </c>
      <c r="J35" s="501"/>
      <c r="K35" s="513"/>
      <c r="L35" s="505">
        <f t="shared" si="3"/>
        <v>0</v>
      </c>
      <c r="M35" s="513"/>
      <c r="N35" s="505">
        <f t="shared" si="5"/>
        <v>0</v>
      </c>
      <c r="O35" s="505">
        <f t="shared" si="6"/>
        <v>0</v>
      </c>
      <c r="P35" s="279"/>
      <c r="R35" s="244"/>
      <c r="S35" s="244"/>
      <c r="T35" s="244"/>
      <c r="U35" s="244"/>
    </row>
    <row r="36" spans="2:21" ht="12.5">
      <c r="B36" s="145" t="str">
        <f t="shared" si="0"/>
        <v/>
      </c>
      <c r="C36" s="496">
        <f>IF(D11="","-",+C35+1)</f>
        <v>2030</v>
      </c>
      <c r="D36" s="509">
        <f>IF(F35+SUM(E$17:E35)=D$10,F35,D$10-SUM(E$17:E35))</f>
        <v>6469545.4559912421</v>
      </c>
      <c r="E36" s="510">
        <f>IF(+I14&lt;F35,I14,D36)</f>
        <v>269225.1707317073</v>
      </c>
      <c r="F36" s="511">
        <f t="shared" si="9"/>
        <v>6200320.2852595346</v>
      </c>
      <c r="G36" s="512">
        <f t="shared" si="10"/>
        <v>1013522.9395082016</v>
      </c>
      <c r="H36" s="478">
        <f t="shared" si="11"/>
        <v>1013522.9395082016</v>
      </c>
      <c r="I36" s="501">
        <f t="shared" si="1"/>
        <v>0</v>
      </c>
      <c r="J36" s="501"/>
      <c r="K36" s="513"/>
      <c r="L36" s="505">
        <f t="shared" si="3"/>
        <v>0</v>
      </c>
      <c r="M36" s="513"/>
      <c r="N36" s="505">
        <f t="shared" si="5"/>
        <v>0</v>
      </c>
      <c r="O36" s="505">
        <f t="shared" si="6"/>
        <v>0</v>
      </c>
      <c r="P36" s="279"/>
      <c r="R36" s="244"/>
      <c r="S36" s="244"/>
      <c r="T36" s="244"/>
      <c r="U36" s="244"/>
    </row>
    <row r="37" spans="2:21" ht="12.5">
      <c r="B37" s="145" t="str">
        <f t="shared" si="0"/>
        <v/>
      </c>
      <c r="C37" s="496">
        <f>IF(D11="","-",+C36+1)</f>
        <v>2031</v>
      </c>
      <c r="D37" s="509">
        <f>IF(F36+SUM(E$17:E36)=D$10,F36,D$10-SUM(E$17:E36))</f>
        <v>6200320.2852595346</v>
      </c>
      <c r="E37" s="510">
        <f>IF(+I14&lt;F36,I14,D37)</f>
        <v>269225.1707317073</v>
      </c>
      <c r="F37" s="511">
        <f t="shared" si="9"/>
        <v>5931095.1145278271</v>
      </c>
      <c r="G37" s="512">
        <f t="shared" si="10"/>
        <v>981891.39771187957</v>
      </c>
      <c r="H37" s="478">
        <f t="shared" si="11"/>
        <v>981891.39771187957</v>
      </c>
      <c r="I37" s="501">
        <f t="shared" si="1"/>
        <v>0</v>
      </c>
      <c r="J37" s="501"/>
      <c r="K37" s="513"/>
      <c r="L37" s="505">
        <f t="shared" si="3"/>
        <v>0</v>
      </c>
      <c r="M37" s="513"/>
      <c r="N37" s="505">
        <f t="shared" si="5"/>
        <v>0</v>
      </c>
      <c r="O37" s="505">
        <f t="shared" si="6"/>
        <v>0</v>
      </c>
      <c r="P37" s="279"/>
      <c r="R37" s="244"/>
      <c r="S37" s="244"/>
      <c r="T37" s="244"/>
      <c r="U37" s="244"/>
    </row>
    <row r="38" spans="2:21" ht="12.5">
      <c r="B38" s="145" t="str">
        <f t="shared" si="0"/>
        <v/>
      </c>
      <c r="C38" s="496">
        <f>IF(D11="","-",+C37+1)</f>
        <v>2032</v>
      </c>
      <c r="D38" s="509">
        <f>IF(F37+SUM(E$17:E37)=D$10,F37,D$10-SUM(E$17:E37))</f>
        <v>5931095.1145278271</v>
      </c>
      <c r="E38" s="510">
        <f>IF(+I14&lt;F37,I14,D38)</f>
        <v>269225.1707317073</v>
      </c>
      <c r="F38" s="511">
        <f t="shared" si="9"/>
        <v>5661869.9437961197</v>
      </c>
      <c r="G38" s="512">
        <f t="shared" si="10"/>
        <v>950259.85591555759</v>
      </c>
      <c r="H38" s="478">
        <f t="shared" si="11"/>
        <v>950259.85591555759</v>
      </c>
      <c r="I38" s="501">
        <f t="shared" si="1"/>
        <v>0</v>
      </c>
      <c r="J38" s="501"/>
      <c r="K38" s="513"/>
      <c r="L38" s="505">
        <f t="shared" si="3"/>
        <v>0</v>
      </c>
      <c r="M38" s="513"/>
      <c r="N38" s="505">
        <f t="shared" si="5"/>
        <v>0</v>
      </c>
      <c r="O38" s="505">
        <f t="shared" si="6"/>
        <v>0</v>
      </c>
      <c r="P38" s="279"/>
      <c r="R38" s="244"/>
      <c r="S38" s="244"/>
      <c r="T38" s="244"/>
      <c r="U38" s="244"/>
    </row>
    <row r="39" spans="2:21" ht="12.5">
      <c r="B39" s="145" t="str">
        <f t="shared" si="0"/>
        <v/>
      </c>
      <c r="C39" s="496">
        <f>IF(D11="","-",+C38+1)</f>
        <v>2033</v>
      </c>
      <c r="D39" s="509">
        <f>IF(F38+SUM(E$17:E38)=D$10,F38,D$10-SUM(E$17:E38))</f>
        <v>5661869.9437961197</v>
      </c>
      <c r="E39" s="510">
        <f>IF(+I14&lt;F38,I14,D39)</f>
        <v>269225.1707317073</v>
      </c>
      <c r="F39" s="511">
        <f t="shared" si="9"/>
        <v>5392644.7730644122</v>
      </c>
      <c r="G39" s="512">
        <f t="shared" si="10"/>
        <v>918628.31411923585</v>
      </c>
      <c r="H39" s="478">
        <f t="shared" si="11"/>
        <v>918628.31411923585</v>
      </c>
      <c r="I39" s="501">
        <f t="shared" si="1"/>
        <v>0</v>
      </c>
      <c r="J39" s="501"/>
      <c r="K39" s="513"/>
      <c r="L39" s="505">
        <f t="shared" si="3"/>
        <v>0</v>
      </c>
      <c r="M39" s="513"/>
      <c r="N39" s="505">
        <f t="shared" si="5"/>
        <v>0</v>
      </c>
      <c r="O39" s="505">
        <f t="shared" si="6"/>
        <v>0</v>
      </c>
      <c r="P39" s="279"/>
      <c r="R39" s="244"/>
      <c r="S39" s="244"/>
      <c r="T39" s="244"/>
      <c r="U39" s="244"/>
    </row>
    <row r="40" spans="2:21" ht="12.5">
      <c r="B40" s="145" t="str">
        <f t="shared" si="0"/>
        <v/>
      </c>
      <c r="C40" s="496">
        <f>IF(D11="","-",+C39+1)</f>
        <v>2034</v>
      </c>
      <c r="D40" s="509">
        <f>IF(F39+SUM(E$17:E39)=D$10,F39,D$10-SUM(E$17:E39))</f>
        <v>5392644.7730644122</v>
      </c>
      <c r="E40" s="510">
        <f>IF(+I14&lt;F39,I14,D40)</f>
        <v>269225.1707317073</v>
      </c>
      <c r="F40" s="511">
        <f t="shared" si="9"/>
        <v>5123419.6023327047</v>
      </c>
      <c r="G40" s="512">
        <f t="shared" si="10"/>
        <v>886996.77232291386</v>
      </c>
      <c r="H40" s="478">
        <f t="shared" si="11"/>
        <v>886996.77232291386</v>
      </c>
      <c r="I40" s="501">
        <f t="shared" si="1"/>
        <v>0</v>
      </c>
      <c r="J40" s="501"/>
      <c r="K40" s="513"/>
      <c r="L40" s="505">
        <f t="shared" si="3"/>
        <v>0</v>
      </c>
      <c r="M40" s="513"/>
      <c r="N40" s="505">
        <f t="shared" si="5"/>
        <v>0</v>
      </c>
      <c r="O40" s="505">
        <f t="shared" si="6"/>
        <v>0</v>
      </c>
      <c r="P40" s="279"/>
      <c r="R40" s="244"/>
      <c r="S40" s="244"/>
      <c r="T40" s="244"/>
      <c r="U40" s="244"/>
    </row>
    <row r="41" spans="2:21" ht="12.5">
      <c r="B41" s="145" t="str">
        <f t="shared" si="0"/>
        <v/>
      </c>
      <c r="C41" s="496">
        <f>IF(D12="","-",+C40+1)</f>
        <v>2035</v>
      </c>
      <c r="D41" s="509">
        <f>IF(F40+SUM(E$17:E40)=D$10,F40,D$10-SUM(E$17:E40))</f>
        <v>5123419.6023327047</v>
      </c>
      <c r="E41" s="510">
        <f>IF(+I14&lt;F40,I14,D41)</f>
        <v>269225.1707317073</v>
      </c>
      <c r="F41" s="511">
        <f t="shared" si="9"/>
        <v>4854194.4316009972</v>
      </c>
      <c r="G41" s="512">
        <f t="shared" si="10"/>
        <v>855365.23052659188</v>
      </c>
      <c r="H41" s="478">
        <f t="shared" si="11"/>
        <v>855365.23052659188</v>
      </c>
      <c r="I41" s="501">
        <f t="shared" si="1"/>
        <v>0</v>
      </c>
      <c r="J41" s="501"/>
      <c r="K41" s="513"/>
      <c r="L41" s="505">
        <f t="shared" si="3"/>
        <v>0</v>
      </c>
      <c r="M41" s="513"/>
      <c r="N41" s="505">
        <f t="shared" si="5"/>
        <v>0</v>
      </c>
      <c r="O41" s="505">
        <f t="shared" si="6"/>
        <v>0</v>
      </c>
      <c r="P41" s="279"/>
      <c r="R41" s="244"/>
      <c r="S41" s="244"/>
      <c r="T41" s="244"/>
      <c r="U41" s="244"/>
    </row>
    <row r="42" spans="2:21" ht="12.5">
      <c r="B42" s="145" t="str">
        <f t="shared" si="0"/>
        <v/>
      </c>
      <c r="C42" s="496">
        <f>IF(D13="","-",+C41+1)</f>
        <v>2036</v>
      </c>
      <c r="D42" s="509">
        <f>IF(F41+SUM(E$17:E41)=D$10,F41,D$10-SUM(E$17:E41))</f>
        <v>4854194.4316009972</v>
      </c>
      <c r="E42" s="510">
        <f>IF(+I14&lt;F41,I14,D42)</f>
        <v>269225.1707317073</v>
      </c>
      <c r="F42" s="511">
        <f t="shared" si="9"/>
        <v>4584969.2608692897</v>
      </c>
      <c r="G42" s="512">
        <f t="shared" si="10"/>
        <v>823733.6887302699</v>
      </c>
      <c r="H42" s="478">
        <f t="shared" si="11"/>
        <v>823733.6887302699</v>
      </c>
      <c r="I42" s="501">
        <f t="shared" si="1"/>
        <v>0</v>
      </c>
      <c r="J42" s="501"/>
      <c r="K42" s="513"/>
      <c r="L42" s="505">
        <f t="shared" si="3"/>
        <v>0</v>
      </c>
      <c r="M42" s="513"/>
      <c r="N42" s="505">
        <f t="shared" si="5"/>
        <v>0</v>
      </c>
      <c r="O42" s="505">
        <f t="shared" si="6"/>
        <v>0</v>
      </c>
      <c r="P42" s="279"/>
      <c r="R42" s="244"/>
      <c r="S42" s="244"/>
      <c r="T42" s="244"/>
      <c r="U42" s="244"/>
    </row>
    <row r="43" spans="2:21" ht="12.5">
      <c r="B43" s="145" t="str">
        <f t="shared" si="0"/>
        <v/>
      </c>
      <c r="C43" s="496">
        <f>IF(D14="","-",+C42+1)</f>
        <v>2037</v>
      </c>
      <c r="D43" s="509">
        <f>IF(F42+SUM(E$17:E42)=D$10,F42,D$10-SUM(E$17:E42))</f>
        <v>4584969.2608692897</v>
      </c>
      <c r="E43" s="510">
        <f>IF(+I14&lt;F42,I14,D43)</f>
        <v>269225.1707317073</v>
      </c>
      <c r="F43" s="511">
        <f t="shared" si="9"/>
        <v>4315744.0901375823</v>
      </c>
      <c r="G43" s="512">
        <f t="shared" si="10"/>
        <v>792102.14693394816</v>
      </c>
      <c r="H43" s="478">
        <f t="shared" si="11"/>
        <v>792102.14693394816</v>
      </c>
      <c r="I43" s="501">
        <f t="shared" si="1"/>
        <v>0</v>
      </c>
      <c r="J43" s="501"/>
      <c r="K43" s="513"/>
      <c r="L43" s="505">
        <f t="shared" si="3"/>
        <v>0</v>
      </c>
      <c r="M43" s="513"/>
      <c r="N43" s="505">
        <f t="shared" si="5"/>
        <v>0</v>
      </c>
      <c r="O43" s="505">
        <f t="shared" si="6"/>
        <v>0</v>
      </c>
      <c r="P43" s="279"/>
      <c r="R43" s="244"/>
      <c r="S43" s="244"/>
      <c r="T43" s="244"/>
      <c r="U43" s="244"/>
    </row>
    <row r="44" spans="2:21" ht="12.5">
      <c r="B44" s="145" t="str">
        <f t="shared" si="0"/>
        <v/>
      </c>
      <c r="C44" s="496">
        <f>IF(D11="","-",+C43+1)</f>
        <v>2038</v>
      </c>
      <c r="D44" s="509">
        <f>IF(F43+SUM(E$17:E43)=D$10,F43,D$10-SUM(E$17:E43))</f>
        <v>4315744.0901375823</v>
      </c>
      <c r="E44" s="510">
        <f>IF(+I14&lt;F43,I14,D44)</f>
        <v>269225.1707317073</v>
      </c>
      <c r="F44" s="511">
        <f t="shared" si="9"/>
        <v>4046518.9194058748</v>
      </c>
      <c r="G44" s="512">
        <f t="shared" si="10"/>
        <v>760470.60513762617</v>
      </c>
      <c r="H44" s="478">
        <f t="shared" si="11"/>
        <v>760470.60513762617</v>
      </c>
      <c r="I44" s="501">
        <f t="shared" si="1"/>
        <v>0</v>
      </c>
      <c r="J44" s="501"/>
      <c r="K44" s="513"/>
      <c r="L44" s="505">
        <f t="shared" si="3"/>
        <v>0</v>
      </c>
      <c r="M44" s="513"/>
      <c r="N44" s="505">
        <f t="shared" si="5"/>
        <v>0</v>
      </c>
      <c r="O44" s="505">
        <f t="shared" si="6"/>
        <v>0</v>
      </c>
      <c r="P44" s="279"/>
      <c r="R44" s="244"/>
      <c r="S44" s="244"/>
      <c r="T44" s="244"/>
      <c r="U44" s="244"/>
    </row>
    <row r="45" spans="2:21" ht="12.5">
      <c r="B45" s="145" t="str">
        <f t="shared" si="0"/>
        <v/>
      </c>
      <c r="C45" s="496">
        <f>IF(D11="","-",+C44+1)</f>
        <v>2039</v>
      </c>
      <c r="D45" s="509">
        <f>IF(F44+SUM(E$17:E44)=D$10,F44,D$10-SUM(E$17:E44))</f>
        <v>4046518.9194058748</v>
      </c>
      <c r="E45" s="510">
        <f>IF(+I14&lt;F44,I14,D45)</f>
        <v>269225.1707317073</v>
      </c>
      <c r="F45" s="511">
        <f t="shared" si="9"/>
        <v>3777293.7486741673</v>
      </c>
      <c r="G45" s="512">
        <f t="shared" si="10"/>
        <v>728839.06334130419</v>
      </c>
      <c r="H45" s="478">
        <f t="shared" si="11"/>
        <v>728839.06334130419</v>
      </c>
      <c r="I45" s="501">
        <f t="shared" si="1"/>
        <v>0</v>
      </c>
      <c r="J45" s="501"/>
      <c r="K45" s="513"/>
      <c r="L45" s="505">
        <f t="shared" si="3"/>
        <v>0</v>
      </c>
      <c r="M45" s="513"/>
      <c r="N45" s="505">
        <f t="shared" si="5"/>
        <v>0</v>
      </c>
      <c r="O45" s="505">
        <f t="shared" si="6"/>
        <v>0</v>
      </c>
      <c r="P45" s="279"/>
      <c r="R45" s="244"/>
      <c r="S45" s="244"/>
      <c r="T45" s="244"/>
      <c r="U45" s="244"/>
    </row>
    <row r="46" spans="2:21" ht="12.5">
      <c r="B46" s="145" t="str">
        <f t="shared" si="0"/>
        <v/>
      </c>
      <c r="C46" s="496">
        <f>IF(D11="","-",+C45+1)</f>
        <v>2040</v>
      </c>
      <c r="D46" s="509">
        <f>IF(F45+SUM(E$17:E45)=D$10,F45,D$10-SUM(E$17:E45))</f>
        <v>3777293.7486741673</v>
      </c>
      <c r="E46" s="510">
        <f>IF(+I14&lt;F45,I14,D46)</f>
        <v>269225.1707317073</v>
      </c>
      <c r="F46" s="511">
        <f t="shared" si="9"/>
        <v>3508068.5779424598</v>
      </c>
      <c r="G46" s="512">
        <f t="shared" si="10"/>
        <v>697207.52154498221</v>
      </c>
      <c r="H46" s="478">
        <f t="shared" si="11"/>
        <v>697207.52154498221</v>
      </c>
      <c r="I46" s="501">
        <f t="shared" si="1"/>
        <v>0</v>
      </c>
      <c r="J46" s="501"/>
      <c r="K46" s="513"/>
      <c r="L46" s="505">
        <f t="shared" si="3"/>
        <v>0</v>
      </c>
      <c r="M46" s="513"/>
      <c r="N46" s="505">
        <f t="shared" si="5"/>
        <v>0</v>
      </c>
      <c r="O46" s="505">
        <f t="shared" si="6"/>
        <v>0</v>
      </c>
      <c r="P46" s="279"/>
      <c r="R46" s="244"/>
      <c r="S46" s="244"/>
      <c r="T46" s="244"/>
      <c r="U46" s="244"/>
    </row>
    <row r="47" spans="2:21" ht="12.5">
      <c r="B47" s="145" t="str">
        <f t="shared" si="0"/>
        <v/>
      </c>
      <c r="C47" s="496">
        <f>IF(D11="","-",+C46+1)</f>
        <v>2041</v>
      </c>
      <c r="D47" s="509">
        <f>IF(F46+SUM(E$17:E46)=D$10,F46,D$10-SUM(E$17:E46))</f>
        <v>3508068.5779424598</v>
      </c>
      <c r="E47" s="510">
        <f>IF(+I14&lt;F46,I14,D47)</f>
        <v>269225.1707317073</v>
      </c>
      <c r="F47" s="511">
        <f t="shared" si="9"/>
        <v>3238843.4072107524</v>
      </c>
      <c r="G47" s="512">
        <f t="shared" si="10"/>
        <v>665575.97974866035</v>
      </c>
      <c r="H47" s="478">
        <f t="shared" si="11"/>
        <v>665575.97974866035</v>
      </c>
      <c r="I47" s="501">
        <f t="shared" si="1"/>
        <v>0</v>
      </c>
      <c r="J47" s="501"/>
      <c r="K47" s="513"/>
      <c r="L47" s="505">
        <f t="shared" si="3"/>
        <v>0</v>
      </c>
      <c r="M47" s="513"/>
      <c r="N47" s="505">
        <f t="shared" si="5"/>
        <v>0</v>
      </c>
      <c r="O47" s="505">
        <f t="shared" si="6"/>
        <v>0</v>
      </c>
      <c r="P47" s="279"/>
      <c r="R47" s="244"/>
      <c r="S47" s="244"/>
      <c r="T47" s="244"/>
      <c r="U47" s="244"/>
    </row>
    <row r="48" spans="2:21" ht="12.5">
      <c r="B48" s="145" t="str">
        <f t="shared" si="0"/>
        <v/>
      </c>
      <c r="C48" s="496">
        <f>IF(D11="","-",+C47+1)</f>
        <v>2042</v>
      </c>
      <c r="D48" s="509">
        <f>IF(F47+SUM(E$17:E47)=D$10,F47,D$10-SUM(E$17:E47))</f>
        <v>3238843.4072107524</v>
      </c>
      <c r="E48" s="510">
        <f>IF(+I14&lt;F47,I14,D48)</f>
        <v>269225.1707317073</v>
      </c>
      <c r="F48" s="511">
        <f t="shared" si="9"/>
        <v>2969618.2364790449</v>
      </c>
      <c r="G48" s="512">
        <f t="shared" si="10"/>
        <v>633944.43795233849</v>
      </c>
      <c r="H48" s="478">
        <f t="shared" si="11"/>
        <v>633944.43795233849</v>
      </c>
      <c r="I48" s="501">
        <f t="shared" si="1"/>
        <v>0</v>
      </c>
      <c r="J48" s="501"/>
      <c r="K48" s="513"/>
      <c r="L48" s="505">
        <f t="shared" si="3"/>
        <v>0</v>
      </c>
      <c r="M48" s="513"/>
      <c r="N48" s="505">
        <f t="shared" si="5"/>
        <v>0</v>
      </c>
      <c r="O48" s="505">
        <f t="shared" si="6"/>
        <v>0</v>
      </c>
      <c r="P48" s="279"/>
      <c r="R48" s="244"/>
      <c r="S48" s="244"/>
      <c r="T48" s="244"/>
      <c r="U48" s="244"/>
    </row>
    <row r="49" spans="2:21" ht="12.5">
      <c r="B49" s="145" t="str">
        <f t="shared" si="0"/>
        <v/>
      </c>
      <c r="C49" s="496">
        <f>IF(D11="","-",+C48+1)</f>
        <v>2043</v>
      </c>
      <c r="D49" s="509">
        <f>IF(F48+SUM(E$17:E48)=D$10,F48,D$10-SUM(E$17:E48))</f>
        <v>2969618.2364790449</v>
      </c>
      <c r="E49" s="510">
        <f>IF(+I14&lt;F48,I14,D49)</f>
        <v>269225.1707317073</v>
      </c>
      <c r="F49" s="511">
        <f t="shared" si="9"/>
        <v>2700393.0657473374</v>
      </c>
      <c r="G49" s="512">
        <f t="shared" si="10"/>
        <v>602312.8961560165</v>
      </c>
      <c r="H49" s="478">
        <f t="shared" si="11"/>
        <v>602312.8961560165</v>
      </c>
      <c r="I49" s="501">
        <f t="shared" si="1"/>
        <v>0</v>
      </c>
      <c r="J49" s="501"/>
      <c r="K49" s="513"/>
      <c r="L49" s="505">
        <f t="shared" si="3"/>
        <v>0</v>
      </c>
      <c r="M49" s="513"/>
      <c r="N49" s="505">
        <f t="shared" si="5"/>
        <v>0</v>
      </c>
      <c r="O49" s="505">
        <f t="shared" si="6"/>
        <v>0</v>
      </c>
      <c r="P49" s="279"/>
      <c r="R49" s="244"/>
      <c r="S49" s="244"/>
      <c r="T49" s="244"/>
      <c r="U49" s="244"/>
    </row>
    <row r="50" spans="2:21" ht="12.5">
      <c r="B50" s="145" t="str">
        <f t="shared" ref="B50:B73" si="12">IF(D50=F49,"","IU")</f>
        <v/>
      </c>
      <c r="C50" s="496">
        <f>IF(D11="","-",+C49+1)</f>
        <v>2044</v>
      </c>
      <c r="D50" s="509">
        <f>IF(F49+SUM(E$17:E49)=D$10,F49,D$10-SUM(E$17:E49))</f>
        <v>2700393.0657473374</v>
      </c>
      <c r="E50" s="510">
        <f>IF(+I14&lt;F49,I14,D50)</f>
        <v>269225.1707317073</v>
      </c>
      <c r="F50" s="511">
        <f t="shared" ref="F50:F73" si="13">+D50-E50</f>
        <v>2431167.8950156299</v>
      </c>
      <c r="G50" s="512">
        <f t="shared" si="10"/>
        <v>570681.35435969452</v>
      </c>
      <c r="H50" s="478">
        <f t="shared" si="11"/>
        <v>570681.35435969452</v>
      </c>
      <c r="I50" s="501">
        <f t="shared" ref="I50:I73" si="14">H50-G50</f>
        <v>0</v>
      </c>
      <c r="J50" s="501"/>
      <c r="K50" s="513"/>
      <c r="L50" s="505">
        <f t="shared" ref="L50:L73" si="15">IF(K50&lt;&gt;0,+G50-K50,0)</f>
        <v>0</v>
      </c>
      <c r="M50" s="513"/>
      <c r="N50" s="505">
        <f t="shared" ref="N50:N73" si="16">IF(M50&lt;&gt;0,+H50-M50,0)</f>
        <v>0</v>
      </c>
      <c r="O50" s="505">
        <f t="shared" ref="O50:O73" si="17">+N50-L50</f>
        <v>0</v>
      </c>
      <c r="P50" s="279"/>
      <c r="R50" s="244"/>
      <c r="S50" s="244"/>
      <c r="T50" s="244"/>
      <c r="U50" s="244"/>
    </row>
    <row r="51" spans="2:21" ht="12.5">
      <c r="B51" s="145" t="str">
        <f t="shared" si="12"/>
        <v/>
      </c>
      <c r="C51" s="496">
        <f>IF(D11="","-",+C50+1)</f>
        <v>2045</v>
      </c>
      <c r="D51" s="509">
        <f>IF(F50+SUM(E$17:E50)=D$10,F50,D$10-SUM(E$17:E50))</f>
        <v>2431167.8950156299</v>
      </c>
      <c r="E51" s="510">
        <f>IF(+I14&lt;F50,I14,D51)</f>
        <v>269225.1707317073</v>
      </c>
      <c r="F51" s="511">
        <f t="shared" si="13"/>
        <v>2161942.7242839225</v>
      </c>
      <c r="G51" s="512">
        <f t="shared" si="10"/>
        <v>539049.81256337266</v>
      </c>
      <c r="H51" s="478">
        <f t="shared" si="11"/>
        <v>539049.81256337266</v>
      </c>
      <c r="I51" s="501">
        <f t="shared" si="14"/>
        <v>0</v>
      </c>
      <c r="J51" s="501"/>
      <c r="K51" s="513"/>
      <c r="L51" s="505">
        <f t="shared" si="15"/>
        <v>0</v>
      </c>
      <c r="M51" s="513"/>
      <c r="N51" s="505">
        <f t="shared" si="16"/>
        <v>0</v>
      </c>
      <c r="O51" s="505">
        <f t="shared" si="17"/>
        <v>0</v>
      </c>
      <c r="P51" s="279"/>
      <c r="R51" s="244"/>
      <c r="S51" s="244"/>
      <c r="T51" s="244"/>
      <c r="U51" s="244"/>
    </row>
    <row r="52" spans="2:21" ht="12.5">
      <c r="B52" s="145" t="str">
        <f t="shared" si="12"/>
        <v/>
      </c>
      <c r="C52" s="496">
        <f>IF(D11="","-",+C51+1)</f>
        <v>2046</v>
      </c>
      <c r="D52" s="509">
        <f>IF(F51+SUM(E$17:E51)=D$10,F51,D$10-SUM(E$17:E51))</f>
        <v>2161942.7242839225</v>
      </c>
      <c r="E52" s="510">
        <f>IF(+I14&lt;F51,I14,D52)</f>
        <v>269225.1707317073</v>
      </c>
      <c r="F52" s="511">
        <f t="shared" si="13"/>
        <v>1892717.5535522152</v>
      </c>
      <c r="G52" s="512">
        <f t="shared" si="10"/>
        <v>507418.27076705074</v>
      </c>
      <c r="H52" s="478">
        <f t="shared" si="11"/>
        <v>507418.27076705074</v>
      </c>
      <c r="I52" s="501">
        <f t="shared" si="14"/>
        <v>0</v>
      </c>
      <c r="J52" s="501"/>
      <c r="K52" s="513"/>
      <c r="L52" s="505">
        <f t="shared" si="15"/>
        <v>0</v>
      </c>
      <c r="M52" s="513"/>
      <c r="N52" s="505">
        <f t="shared" si="16"/>
        <v>0</v>
      </c>
      <c r="O52" s="505">
        <f t="shared" si="17"/>
        <v>0</v>
      </c>
      <c r="P52" s="279"/>
      <c r="R52" s="244"/>
      <c r="S52" s="244"/>
      <c r="T52" s="244"/>
      <c r="U52" s="244"/>
    </row>
    <row r="53" spans="2:21" ht="12.5">
      <c r="B53" s="145" t="str">
        <f t="shared" si="12"/>
        <v/>
      </c>
      <c r="C53" s="496">
        <f>IF(D11="","-",+C52+1)</f>
        <v>2047</v>
      </c>
      <c r="D53" s="509">
        <f>IF(F52+SUM(E$17:E52)=D$10,F52,D$10-SUM(E$17:E52))</f>
        <v>1892717.5535522152</v>
      </c>
      <c r="E53" s="510">
        <f>IF(+I14&lt;F52,I14,D53)</f>
        <v>269225.1707317073</v>
      </c>
      <c r="F53" s="511">
        <f t="shared" si="13"/>
        <v>1623492.382820508</v>
      </c>
      <c r="G53" s="512">
        <f t="shared" si="10"/>
        <v>475786.72897072887</v>
      </c>
      <c r="H53" s="478">
        <f t="shared" si="11"/>
        <v>475786.72897072887</v>
      </c>
      <c r="I53" s="501">
        <f t="shared" si="14"/>
        <v>0</v>
      </c>
      <c r="J53" s="501"/>
      <c r="K53" s="513"/>
      <c r="L53" s="505">
        <f t="shared" si="15"/>
        <v>0</v>
      </c>
      <c r="M53" s="513"/>
      <c r="N53" s="505">
        <f t="shared" si="16"/>
        <v>0</v>
      </c>
      <c r="O53" s="505">
        <f t="shared" si="17"/>
        <v>0</v>
      </c>
      <c r="P53" s="279"/>
      <c r="R53" s="244"/>
      <c r="S53" s="244"/>
      <c r="T53" s="244"/>
      <c r="U53" s="244"/>
    </row>
    <row r="54" spans="2:21" ht="12.5">
      <c r="B54" s="145" t="str">
        <f t="shared" si="12"/>
        <v/>
      </c>
      <c r="C54" s="496">
        <f>IF(D11="","-",+C53+1)</f>
        <v>2048</v>
      </c>
      <c r="D54" s="509">
        <f>IF(F53+SUM(E$17:E53)=D$10,F53,D$10-SUM(E$17:E53))</f>
        <v>1623492.382820508</v>
      </c>
      <c r="E54" s="510">
        <f>IF(+I14&lt;F53,I14,D54)</f>
        <v>269225.1707317073</v>
      </c>
      <c r="F54" s="511">
        <f t="shared" si="13"/>
        <v>1354267.2120888007</v>
      </c>
      <c r="G54" s="512">
        <f t="shared" si="10"/>
        <v>444155.18717440695</v>
      </c>
      <c r="H54" s="478">
        <f t="shared" si="11"/>
        <v>444155.18717440695</v>
      </c>
      <c r="I54" s="501">
        <f t="shared" si="14"/>
        <v>0</v>
      </c>
      <c r="J54" s="501"/>
      <c r="K54" s="513"/>
      <c r="L54" s="505">
        <f t="shared" si="15"/>
        <v>0</v>
      </c>
      <c r="M54" s="513"/>
      <c r="N54" s="505">
        <f t="shared" si="16"/>
        <v>0</v>
      </c>
      <c r="O54" s="505">
        <f t="shared" si="17"/>
        <v>0</v>
      </c>
      <c r="P54" s="279"/>
      <c r="R54" s="244"/>
      <c r="S54" s="244"/>
      <c r="T54" s="244"/>
      <c r="U54" s="244"/>
    </row>
    <row r="55" spans="2:21" ht="12.5">
      <c r="B55" s="145" t="str">
        <f t="shared" si="12"/>
        <v/>
      </c>
      <c r="C55" s="496">
        <f>IF(D11="","-",+C54+1)</f>
        <v>2049</v>
      </c>
      <c r="D55" s="509">
        <f>IF(F54+SUM(E$17:E54)=D$10,F54,D$10-SUM(E$17:E54))</f>
        <v>1354267.2120888007</v>
      </c>
      <c r="E55" s="510">
        <f>IF(+I14&lt;F54,I14,D55)</f>
        <v>269225.1707317073</v>
      </c>
      <c r="F55" s="511">
        <f t="shared" si="13"/>
        <v>1085042.0413570935</v>
      </c>
      <c r="G55" s="512">
        <f t="shared" si="10"/>
        <v>412523.64537808509</v>
      </c>
      <c r="H55" s="478">
        <f t="shared" si="11"/>
        <v>412523.64537808509</v>
      </c>
      <c r="I55" s="501">
        <f t="shared" si="14"/>
        <v>0</v>
      </c>
      <c r="J55" s="501"/>
      <c r="K55" s="513"/>
      <c r="L55" s="505">
        <f t="shared" si="15"/>
        <v>0</v>
      </c>
      <c r="M55" s="513"/>
      <c r="N55" s="505">
        <f t="shared" si="16"/>
        <v>0</v>
      </c>
      <c r="O55" s="505">
        <f t="shared" si="17"/>
        <v>0</v>
      </c>
      <c r="P55" s="279"/>
      <c r="R55" s="244"/>
      <c r="S55" s="244"/>
      <c r="T55" s="244"/>
      <c r="U55" s="244"/>
    </row>
    <row r="56" spans="2:21" ht="12.5">
      <c r="B56" s="145" t="str">
        <f t="shared" si="12"/>
        <v/>
      </c>
      <c r="C56" s="496">
        <f>IF(D11="","-",+C55+1)</f>
        <v>2050</v>
      </c>
      <c r="D56" s="509">
        <f>IF(F55+SUM(E$17:E55)=D$10,F55,D$10-SUM(E$17:E55))</f>
        <v>1085042.0413570935</v>
      </c>
      <c r="E56" s="510">
        <f>IF(+I14&lt;F55,I14,D56)</f>
        <v>269225.1707317073</v>
      </c>
      <c r="F56" s="511">
        <f t="shared" si="13"/>
        <v>815816.87062538625</v>
      </c>
      <c r="G56" s="512">
        <f t="shared" si="10"/>
        <v>380892.10358176322</v>
      </c>
      <c r="H56" s="478">
        <f t="shared" si="11"/>
        <v>380892.10358176322</v>
      </c>
      <c r="I56" s="501">
        <f t="shared" si="14"/>
        <v>0</v>
      </c>
      <c r="J56" s="501"/>
      <c r="K56" s="513"/>
      <c r="L56" s="505">
        <f t="shared" si="15"/>
        <v>0</v>
      </c>
      <c r="M56" s="513"/>
      <c r="N56" s="505">
        <f t="shared" si="16"/>
        <v>0</v>
      </c>
      <c r="O56" s="505">
        <f t="shared" si="17"/>
        <v>0</v>
      </c>
      <c r="P56" s="279"/>
      <c r="R56" s="244"/>
      <c r="S56" s="244"/>
      <c r="T56" s="244"/>
      <c r="U56" s="244"/>
    </row>
    <row r="57" spans="2:21" ht="12.5">
      <c r="B57" s="145" t="str">
        <f t="shared" si="12"/>
        <v/>
      </c>
      <c r="C57" s="496">
        <f>IF(D11="","-",+C56+1)</f>
        <v>2051</v>
      </c>
      <c r="D57" s="509">
        <f>IF(F56+SUM(E$17:E56)=D$10,F56,D$10-SUM(E$17:E56))</f>
        <v>815816.87062538625</v>
      </c>
      <c r="E57" s="510">
        <f>IF(+I14&lt;F56,I14,D57)</f>
        <v>269225.1707317073</v>
      </c>
      <c r="F57" s="511">
        <f t="shared" si="13"/>
        <v>546591.699893679</v>
      </c>
      <c r="G57" s="512">
        <f t="shared" si="10"/>
        <v>349260.5617854413</v>
      </c>
      <c r="H57" s="478">
        <f t="shared" si="11"/>
        <v>349260.5617854413</v>
      </c>
      <c r="I57" s="501">
        <f t="shared" si="14"/>
        <v>0</v>
      </c>
      <c r="J57" s="501"/>
      <c r="K57" s="513"/>
      <c r="L57" s="505">
        <f t="shared" si="15"/>
        <v>0</v>
      </c>
      <c r="M57" s="513"/>
      <c r="N57" s="505">
        <f t="shared" si="16"/>
        <v>0</v>
      </c>
      <c r="O57" s="505">
        <f t="shared" si="17"/>
        <v>0</v>
      </c>
      <c r="P57" s="279"/>
      <c r="R57" s="244"/>
      <c r="S57" s="244"/>
      <c r="T57" s="244"/>
      <c r="U57" s="244"/>
    </row>
    <row r="58" spans="2:21" ht="12.5">
      <c r="B58" s="145" t="str">
        <f t="shared" si="12"/>
        <v/>
      </c>
      <c r="C58" s="496">
        <f>IF(D11="","-",+C57+1)</f>
        <v>2052</v>
      </c>
      <c r="D58" s="509">
        <f>IF(F57+SUM(E$17:E57)=D$10,F57,D$10-SUM(E$17:E57))</f>
        <v>546591.699893679</v>
      </c>
      <c r="E58" s="510">
        <f>IF(+I14&lt;F57,I14,D58)</f>
        <v>269225.1707317073</v>
      </c>
      <c r="F58" s="511">
        <f t="shared" si="13"/>
        <v>277366.5291619717</v>
      </c>
      <c r="G58" s="512">
        <f t="shared" si="10"/>
        <v>317629.01998911938</v>
      </c>
      <c r="H58" s="478">
        <f t="shared" si="11"/>
        <v>317629.01998911938</v>
      </c>
      <c r="I58" s="501">
        <f t="shared" si="14"/>
        <v>0</v>
      </c>
      <c r="J58" s="501"/>
      <c r="K58" s="513"/>
      <c r="L58" s="505">
        <f t="shared" si="15"/>
        <v>0</v>
      </c>
      <c r="M58" s="513"/>
      <c r="N58" s="505">
        <f t="shared" si="16"/>
        <v>0</v>
      </c>
      <c r="O58" s="505">
        <f t="shared" si="17"/>
        <v>0</v>
      </c>
      <c r="P58" s="279"/>
      <c r="R58" s="244"/>
      <c r="S58" s="244"/>
      <c r="T58" s="244"/>
      <c r="U58" s="244"/>
    </row>
    <row r="59" spans="2:21" ht="12.5">
      <c r="B59" s="145" t="str">
        <f t="shared" si="12"/>
        <v/>
      </c>
      <c r="C59" s="496">
        <f>IF(D11="","-",+C58+1)</f>
        <v>2053</v>
      </c>
      <c r="D59" s="509">
        <f>IF(F58+SUM(E$17:E58)=D$10,F58,D$10-SUM(E$17:E58))</f>
        <v>277366.5291619717</v>
      </c>
      <c r="E59" s="510">
        <f>IF(+I14&lt;F58,I14,D59)</f>
        <v>269225.1707317073</v>
      </c>
      <c r="F59" s="511">
        <f t="shared" si="13"/>
        <v>8141.3584302644012</v>
      </c>
      <c r="G59" s="512">
        <f t="shared" si="10"/>
        <v>285997.47819279751</v>
      </c>
      <c r="H59" s="478">
        <f t="shared" si="11"/>
        <v>285997.47819279751</v>
      </c>
      <c r="I59" s="501">
        <f t="shared" si="14"/>
        <v>0</v>
      </c>
      <c r="J59" s="501"/>
      <c r="K59" s="513"/>
      <c r="L59" s="505">
        <f t="shared" si="15"/>
        <v>0</v>
      </c>
      <c r="M59" s="513"/>
      <c r="N59" s="505">
        <f t="shared" si="16"/>
        <v>0</v>
      </c>
      <c r="O59" s="505">
        <f t="shared" si="17"/>
        <v>0</v>
      </c>
      <c r="P59" s="279"/>
      <c r="R59" s="244"/>
      <c r="S59" s="244"/>
      <c r="T59" s="244"/>
      <c r="U59" s="244"/>
    </row>
    <row r="60" spans="2:21" ht="12.5">
      <c r="B60" s="145" t="str">
        <f t="shared" si="12"/>
        <v/>
      </c>
      <c r="C60" s="496">
        <f>IF(D11="","-",+C59+1)</f>
        <v>2054</v>
      </c>
      <c r="D60" s="509">
        <f>IF(F59+SUM(E$17:E59)=D$10,F59,D$10-SUM(E$17:E59))</f>
        <v>8141.3584302644012</v>
      </c>
      <c r="E60" s="510">
        <f>IF(+I14&lt;F59,I14,D60)</f>
        <v>8141.3584302644012</v>
      </c>
      <c r="F60" s="511">
        <f t="shared" si="13"/>
        <v>0</v>
      </c>
      <c r="G60" s="512">
        <f t="shared" si="10"/>
        <v>8619.6267117290226</v>
      </c>
      <c r="H60" s="478">
        <f t="shared" si="11"/>
        <v>8619.6267117290226</v>
      </c>
      <c r="I60" s="501">
        <f t="shared" si="14"/>
        <v>0</v>
      </c>
      <c r="J60" s="501"/>
      <c r="K60" s="513"/>
      <c r="L60" s="505">
        <f t="shared" si="15"/>
        <v>0</v>
      </c>
      <c r="M60" s="513"/>
      <c r="N60" s="505">
        <f t="shared" si="16"/>
        <v>0</v>
      </c>
      <c r="O60" s="505">
        <f t="shared" si="17"/>
        <v>0</v>
      </c>
      <c r="P60" s="279"/>
      <c r="R60" s="244"/>
      <c r="S60" s="244"/>
      <c r="T60" s="244"/>
      <c r="U60" s="244"/>
    </row>
    <row r="61" spans="2:21" ht="12.5">
      <c r="B61" s="145" t="str">
        <f t="shared" si="12"/>
        <v/>
      </c>
      <c r="C61" s="496">
        <f>IF(D11="","-",+C60+1)</f>
        <v>2055</v>
      </c>
      <c r="D61" s="509">
        <f>IF(F60+SUM(E$17:E60)=D$10,F60,D$10-SUM(E$17:E60))</f>
        <v>0</v>
      </c>
      <c r="E61" s="510">
        <f>IF(+I14&lt;F60,I14,D61)</f>
        <v>0</v>
      </c>
      <c r="F61" s="511">
        <f t="shared" si="13"/>
        <v>0</v>
      </c>
      <c r="G61" s="512">
        <f t="shared" si="10"/>
        <v>0</v>
      </c>
      <c r="H61" s="478">
        <f t="shared" si="11"/>
        <v>0</v>
      </c>
      <c r="I61" s="501">
        <f t="shared" si="14"/>
        <v>0</v>
      </c>
      <c r="J61" s="501"/>
      <c r="K61" s="513"/>
      <c r="L61" s="505">
        <f t="shared" si="15"/>
        <v>0</v>
      </c>
      <c r="M61" s="513"/>
      <c r="N61" s="505">
        <f t="shared" si="16"/>
        <v>0</v>
      </c>
      <c r="O61" s="505">
        <f t="shared" si="17"/>
        <v>0</v>
      </c>
      <c r="P61" s="279"/>
      <c r="R61" s="244"/>
      <c r="S61" s="244"/>
      <c r="T61" s="244"/>
      <c r="U61" s="244"/>
    </row>
    <row r="62" spans="2:21" ht="12.5">
      <c r="B62" s="145" t="str">
        <f t="shared" si="12"/>
        <v/>
      </c>
      <c r="C62" s="496">
        <f>IF(D11="","-",+C61+1)</f>
        <v>2056</v>
      </c>
      <c r="D62" s="509">
        <f>IF(F61+SUM(E$17:E61)=D$10,F61,D$10-SUM(E$17:E61))</f>
        <v>0</v>
      </c>
      <c r="E62" s="510">
        <f>IF(+I14&lt;F61,I14,D62)</f>
        <v>0</v>
      </c>
      <c r="F62" s="511">
        <f t="shared" si="13"/>
        <v>0</v>
      </c>
      <c r="G62" s="524">
        <f t="shared" si="10"/>
        <v>0</v>
      </c>
      <c r="H62" s="478">
        <f t="shared" si="11"/>
        <v>0</v>
      </c>
      <c r="I62" s="501">
        <f t="shared" si="14"/>
        <v>0</v>
      </c>
      <c r="J62" s="501"/>
      <c r="K62" s="513"/>
      <c r="L62" s="505">
        <f t="shared" si="15"/>
        <v>0</v>
      </c>
      <c r="M62" s="513"/>
      <c r="N62" s="505">
        <f t="shared" si="16"/>
        <v>0</v>
      </c>
      <c r="O62" s="505">
        <f t="shared" si="17"/>
        <v>0</v>
      </c>
      <c r="P62" s="279"/>
      <c r="R62" s="244"/>
      <c r="S62" s="244"/>
      <c r="T62" s="244"/>
      <c r="U62" s="244"/>
    </row>
    <row r="63" spans="2:21" ht="12.5">
      <c r="B63" s="145" t="str">
        <f t="shared" si="12"/>
        <v/>
      </c>
      <c r="C63" s="496">
        <f>IF(D11="","-",+C62+1)</f>
        <v>2057</v>
      </c>
      <c r="D63" s="509">
        <f>IF(F62+SUM(E$17:E62)=D$10,F62,D$10-SUM(E$17:E62))</f>
        <v>0</v>
      </c>
      <c r="E63" s="510">
        <f>IF(+I14&lt;F62,I14,D63)</f>
        <v>0</v>
      </c>
      <c r="F63" s="511">
        <f t="shared" si="13"/>
        <v>0</v>
      </c>
      <c r="G63" s="524">
        <f t="shared" si="10"/>
        <v>0</v>
      </c>
      <c r="H63" s="478">
        <f t="shared" si="11"/>
        <v>0</v>
      </c>
      <c r="I63" s="501">
        <f t="shared" si="14"/>
        <v>0</v>
      </c>
      <c r="J63" s="501"/>
      <c r="K63" s="513"/>
      <c r="L63" s="505">
        <f t="shared" si="15"/>
        <v>0</v>
      </c>
      <c r="M63" s="513"/>
      <c r="N63" s="505">
        <f t="shared" si="16"/>
        <v>0</v>
      </c>
      <c r="O63" s="505">
        <f t="shared" si="17"/>
        <v>0</v>
      </c>
      <c r="P63" s="279"/>
      <c r="R63" s="244"/>
      <c r="S63" s="244"/>
      <c r="T63" s="244"/>
      <c r="U63" s="244"/>
    </row>
    <row r="64" spans="2:21" ht="12.5">
      <c r="B64" s="145" t="str">
        <f t="shared" si="12"/>
        <v/>
      </c>
      <c r="C64" s="496">
        <f>IF(D11="","-",+C63+1)</f>
        <v>2058</v>
      </c>
      <c r="D64" s="509">
        <f>IF(F63+SUM(E$17:E63)=D$10,F63,D$10-SUM(E$17:E63))</f>
        <v>0</v>
      </c>
      <c r="E64" s="510">
        <f>IF(+I14&lt;F63,I14,D64)</f>
        <v>0</v>
      </c>
      <c r="F64" s="511">
        <f t="shared" si="13"/>
        <v>0</v>
      </c>
      <c r="G64" s="524">
        <f t="shared" si="10"/>
        <v>0</v>
      </c>
      <c r="H64" s="478">
        <f t="shared" si="11"/>
        <v>0</v>
      </c>
      <c r="I64" s="501">
        <f t="shared" si="14"/>
        <v>0</v>
      </c>
      <c r="J64" s="501"/>
      <c r="K64" s="513"/>
      <c r="L64" s="505">
        <f t="shared" si="15"/>
        <v>0</v>
      </c>
      <c r="M64" s="513"/>
      <c r="N64" s="505">
        <f t="shared" si="16"/>
        <v>0</v>
      </c>
      <c r="O64" s="505">
        <f t="shared" si="17"/>
        <v>0</v>
      </c>
      <c r="P64" s="279"/>
      <c r="R64" s="244"/>
      <c r="S64" s="244"/>
      <c r="T64" s="244"/>
      <c r="U64" s="244"/>
    </row>
    <row r="65" spans="2:21" ht="12.5">
      <c r="B65" s="145" t="str">
        <f t="shared" si="12"/>
        <v/>
      </c>
      <c r="C65" s="496">
        <f>IF(D11="","-",+C64+1)</f>
        <v>2059</v>
      </c>
      <c r="D65" s="509">
        <f>IF(F64+SUM(E$17:E64)=D$10,F64,D$10-SUM(E$17:E64))</f>
        <v>0</v>
      </c>
      <c r="E65" s="510">
        <f>IF(+I14&lt;F64,I14,D65)</f>
        <v>0</v>
      </c>
      <c r="F65" s="511">
        <f t="shared" si="13"/>
        <v>0</v>
      </c>
      <c r="G65" s="524">
        <f t="shared" si="10"/>
        <v>0</v>
      </c>
      <c r="H65" s="478">
        <f t="shared" si="11"/>
        <v>0</v>
      </c>
      <c r="I65" s="501">
        <f t="shared" si="14"/>
        <v>0</v>
      </c>
      <c r="J65" s="501"/>
      <c r="K65" s="513"/>
      <c r="L65" s="505">
        <f t="shared" si="15"/>
        <v>0</v>
      </c>
      <c r="M65" s="513"/>
      <c r="N65" s="505">
        <f t="shared" si="16"/>
        <v>0</v>
      </c>
      <c r="O65" s="505">
        <f t="shared" si="17"/>
        <v>0</v>
      </c>
      <c r="P65" s="279"/>
      <c r="R65" s="244"/>
      <c r="S65" s="244"/>
      <c r="T65" s="244"/>
      <c r="U65" s="244"/>
    </row>
    <row r="66" spans="2:21" ht="12.5">
      <c r="B66" s="145" t="str">
        <f t="shared" si="12"/>
        <v/>
      </c>
      <c r="C66" s="496">
        <f>IF(D11="","-",+C65+1)</f>
        <v>2060</v>
      </c>
      <c r="D66" s="509">
        <f>IF(F65+SUM(E$17:E65)=D$10,F65,D$10-SUM(E$17:E65))</f>
        <v>0</v>
      </c>
      <c r="E66" s="510">
        <f>IF(+I14&lt;F65,I14,D66)</f>
        <v>0</v>
      </c>
      <c r="F66" s="511">
        <f t="shared" si="13"/>
        <v>0</v>
      </c>
      <c r="G66" s="524">
        <f t="shared" si="10"/>
        <v>0</v>
      </c>
      <c r="H66" s="478">
        <f t="shared" si="11"/>
        <v>0</v>
      </c>
      <c r="I66" s="501">
        <f t="shared" si="14"/>
        <v>0</v>
      </c>
      <c r="J66" s="501"/>
      <c r="K66" s="513"/>
      <c r="L66" s="505">
        <f t="shared" si="15"/>
        <v>0</v>
      </c>
      <c r="M66" s="513"/>
      <c r="N66" s="505">
        <f t="shared" si="16"/>
        <v>0</v>
      </c>
      <c r="O66" s="505">
        <f t="shared" si="17"/>
        <v>0</v>
      </c>
      <c r="P66" s="279"/>
      <c r="R66" s="244"/>
      <c r="S66" s="244"/>
      <c r="T66" s="244"/>
      <c r="U66" s="244"/>
    </row>
    <row r="67" spans="2:21" ht="12.5">
      <c r="B67" s="145" t="str">
        <f t="shared" si="12"/>
        <v/>
      </c>
      <c r="C67" s="496">
        <f>IF(D11="","-",+C66+1)</f>
        <v>2061</v>
      </c>
      <c r="D67" s="509">
        <f>IF(F66+SUM(E$17:E66)=D$10,F66,D$10-SUM(E$17:E66))</f>
        <v>0</v>
      </c>
      <c r="E67" s="510">
        <f>IF(+I14&lt;F66,I14,D67)</f>
        <v>0</v>
      </c>
      <c r="F67" s="511">
        <f t="shared" si="13"/>
        <v>0</v>
      </c>
      <c r="G67" s="524">
        <f t="shared" si="10"/>
        <v>0</v>
      </c>
      <c r="H67" s="478">
        <f t="shared" si="11"/>
        <v>0</v>
      </c>
      <c r="I67" s="501">
        <f t="shared" si="14"/>
        <v>0</v>
      </c>
      <c r="J67" s="501"/>
      <c r="K67" s="513"/>
      <c r="L67" s="505">
        <f t="shared" si="15"/>
        <v>0</v>
      </c>
      <c r="M67" s="513"/>
      <c r="N67" s="505">
        <f t="shared" si="16"/>
        <v>0</v>
      </c>
      <c r="O67" s="505">
        <f t="shared" si="17"/>
        <v>0</v>
      </c>
      <c r="P67" s="279"/>
      <c r="R67" s="244"/>
      <c r="S67" s="244"/>
      <c r="T67" s="244"/>
      <c r="U67" s="244"/>
    </row>
    <row r="68" spans="2:21" ht="12.5">
      <c r="B68" s="145" t="str">
        <f t="shared" si="12"/>
        <v/>
      </c>
      <c r="C68" s="496">
        <f>IF(D11="","-",+C67+1)</f>
        <v>2062</v>
      </c>
      <c r="D68" s="509">
        <f>IF(F67+SUM(E$17:E67)=D$10,F67,D$10-SUM(E$17:E67))</f>
        <v>0</v>
      </c>
      <c r="E68" s="510">
        <f>IF(+I14&lt;F67,I14,D68)</f>
        <v>0</v>
      </c>
      <c r="F68" s="511">
        <f t="shared" si="13"/>
        <v>0</v>
      </c>
      <c r="G68" s="524">
        <f t="shared" si="10"/>
        <v>0</v>
      </c>
      <c r="H68" s="478">
        <f t="shared" si="11"/>
        <v>0</v>
      </c>
      <c r="I68" s="501">
        <f t="shared" si="14"/>
        <v>0</v>
      </c>
      <c r="J68" s="501"/>
      <c r="K68" s="513"/>
      <c r="L68" s="505">
        <f t="shared" si="15"/>
        <v>0</v>
      </c>
      <c r="M68" s="513"/>
      <c r="N68" s="505">
        <f t="shared" si="16"/>
        <v>0</v>
      </c>
      <c r="O68" s="505">
        <f t="shared" si="17"/>
        <v>0</v>
      </c>
      <c r="P68" s="279"/>
      <c r="R68" s="244"/>
      <c r="S68" s="244"/>
      <c r="T68" s="244"/>
      <c r="U68" s="244"/>
    </row>
    <row r="69" spans="2:21" ht="12.5">
      <c r="B69" s="145" t="str">
        <f t="shared" si="12"/>
        <v/>
      </c>
      <c r="C69" s="496">
        <f>IF(D11="","-",+C68+1)</f>
        <v>2063</v>
      </c>
      <c r="D69" s="509">
        <f>IF(F68+SUM(E$17:E68)=D$10,F68,D$10-SUM(E$17:E68))</f>
        <v>0</v>
      </c>
      <c r="E69" s="510">
        <f>IF(+I14&lt;F68,I14,D69)</f>
        <v>0</v>
      </c>
      <c r="F69" s="511">
        <f t="shared" si="13"/>
        <v>0</v>
      </c>
      <c r="G69" s="524">
        <f t="shared" si="10"/>
        <v>0</v>
      </c>
      <c r="H69" s="478">
        <f t="shared" si="11"/>
        <v>0</v>
      </c>
      <c r="I69" s="501">
        <f t="shared" si="14"/>
        <v>0</v>
      </c>
      <c r="J69" s="501"/>
      <c r="K69" s="513"/>
      <c r="L69" s="505">
        <f t="shared" si="15"/>
        <v>0</v>
      </c>
      <c r="M69" s="513"/>
      <c r="N69" s="505">
        <f t="shared" si="16"/>
        <v>0</v>
      </c>
      <c r="O69" s="505">
        <f t="shared" si="17"/>
        <v>0</v>
      </c>
      <c r="P69" s="279"/>
      <c r="R69" s="244"/>
      <c r="S69" s="244"/>
      <c r="T69" s="244"/>
      <c r="U69" s="244"/>
    </row>
    <row r="70" spans="2:21" ht="12.5">
      <c r="B70" s="145" t="str">
        <f t="shared" si="12"/>
        <v/>
      </c>
      <c r="C70" s="496">
        <f>IF(D11="","-",+C69+1)</f>
        <v>2064</v>
      </c>
      <c r="D70" s="509">
        <f>IF(F69+SUM(E$17:E69)=D$10,F69,D$10-SUM(E$17:E69))</f>
        <v>0</v>
      </c>
      <c r="E70" s="510">
        <f>IF(+I14&lt;F69,I14,D70)</f>
        <v>0</v>
      </c>
      <c r="F70" s="511">
        <f t="shared" si="13"/>
        <v>0</v>
      </c>
      <c r="G70" s="524">
        <f t="shared" si="10"/>
        <v>0</v>
      </c>
      <c r="H70" s="478">
        <f t="shared" si="11"/>
        <v>0</v>
      </c>
      <c r="I70" s="501">
        <f t="shared" si="14"/>
        <v>0</v>
      </c>
      <c r="J70" s="501"/>
      <c r="K70" s="513"/>
      <c r="L70" s="505">
        <f t="shared" si="15"/>
        <v>0</v>
      </c>
      <c r="M70" s="513"/>
      <c r="N70" s="505">
        <f t="shared" si="16"/>
        <v>0</v>
      </c>
      <c r="O70" s="505">
        <f t="shared" si="17"/>
        <v>0</v>
      </c>
      <c r="P70" s="279"/>
      <c r="R70" s="244"/>
      <c r="S70" s="244"/>
      <c r="T70" s="244"/>
      <c r="U70" s="244"/>
    </row>
    <row r="71" spans="2:21" ht="12.5">
      <c r="B71" s="145" t="str">
        <f t="shared" si="12"/>
        <v/>
      </c>
      <c r="C71" s="496">
        <f>IF(D11="","-",+C70+1)</f>
        <v>2065</v>
      </c>
      <c r="D71" s="509">
        <f>IF(F70+SUM(E$17:E70)=D$10,F70,D$10-SUM(E$17:E70))</f>
        <v>0</v>
      </c>
      <c r="E71" s="510">
        <f>IF(+I14&lt;F70,I14,D71)</f>
        <v>0</v>
      </c>
      <c r="F71" s="511">
        <f t="shared" si="13"/>
        <v>0</v>
      </c>
      <c r="G71" s="524">
        <f t="shared" si="10"/>
        <v>0</v>
      </c>
      <c r="H71" s="478">
        <f t="shared" si="11"/>
        <v>0</v>
      </c>
      <c r="I71" s="501">
        <f t="shared" si="14"/>
        <v>0</v>
      </c>
      <c r="J71" s="501"/>
      <c r="K71" s="513"/>
      <c r="L71" s="505">
        <f t="shared" si="15"/>
        <v>0</v>
      </c>
      <c r="M71" s="513"/>
      <c r="N71" s="505">
        <f t="shared" si="16"/>
        <v>0</v>
      </c>
      <c r="O71" s="505">
        <f t="shared" si="17"/>
        <v>0</v>
      </c>
      <c r="P71" s="279"/>
      <c r="R71" s="244"/>
      <c r="S71" s="244"/>
      <c r="T71" s="244"/>
      <c r="U71" s="244"/>
    </row>
    <row r="72" spans="2:21" ht="12.5">
      <c r="B72" s="145" t="str">
        <f t="shared" si="12"/>
        <v/>
      </c>
      <c r="C72" s="496">
        <f>IF(D11="","-",+C71+1)</f>
        <v>2066</v>
      </c>
      <c r="D72" s="509">
        <f>IF(F71+SUM(E$17:E71)=D$10,F71,D$10-SUM(E$17:E71))</f>
        <v>0</v>
      </c>
      <c r="E72" s="510">
        <f>IF(+I14&lt;F71,I14,D72)</f>
        <v>0</v>
      </c>
      <c r="F72" s="511">
        <f t="shared" si="13"/>
        <v>0</v>
      </c>
      <c r="G72" s="524">
        <f t="shared" si="10"/>
        <v>0</v>
      </c>
      <c r="H72" s="478">
        <f t="shared" si="11"/>
        <v>0</v>
      </c>
      <c r="I72" s="501">
        <f t="shared" si="14"/>
        <v>0</v>
      </c>
      <c r="J72" s="501"/>
      <c r="K72" s="513"/>
      <c r="L72" s="505">
        <f t="shared" si="15"/>
        <v>0</v>
      </c>
      <c r="M72" s="513"/>
      <c r="N72" s="505">
        <f t="shared" si="16"/>
        <v>0</v>
      </c>
      <c r="O72" s="505">
        <f t="shared" si="17"/>
        <v>0</v>
      </c>
      <c r="P72" s="279"/>
      <c r="R72" s="244"/>
      <c r="S72" s="244"/>
      <c r="T72" s="244"/>
      <c r="U72" s="244"/>
    </row>
    <row r="73" spans="2:21" ht="13" thickBot="1">
      <c r="B73" s="145" t="str">
        <f t="shared" si="12"/>
        <v/>
      </c>
      <c r="C73" s="525">
        <f>IF(D11="","-",+C72+1)</f>
        <v>2067</v>
      </c>
      <c r="D73" s="526">
        <f>IF(F72+SUM(E$17:E72)=D$10,F72,D$10-SUM(E$17:E72))</f>
        <v>0</v>
      </c>
      <c r="E73" s="527">
        <f>IF(+I14&lt;F72,I14,D73)</f>
        <v>0</v>
      </c>
      <c r="F73" s="528">
        <f t="shared" si="13"/>
        <v>0</v>
      </c>
      <c r="G73" s="529">
        <f t="shared" si="10"/>
        <v>0</v>
      </c>
      <c r="H73" s="459">
        <f t="shared" si="11"/>
        <v>0</v>
      </c>
      <c r="I73" s="530">
        <f t="shared" si="14"/>
        <v>0</v>
      </c>
      <c r="J73" s="501"/>
      <c r="K73" s="531"/>
      <c r="L73" s="532">
        <f t="shared" si="15"/>
        <v>0</v>
      </c>
      <c r="M73" s="531"/>
      <c r="N73" s="532">
        <f t="shared" si="16"/>
        <v>0</v>
      </c>
      <c r="O73" s="532">
        <f t="shared" si="17"/>
        <v>0</v>
      </c>
      <c r="P73" s="279"/>
      <c r="R73" s="244"/>
      <c r="S73" s="244"/>
      <c r="T73" s="244"/>
      <c r="U73" s="244"/>
    </row>
    <row r="74" spans="2:21" ht="12.5">
      <c r="C74" s="350" t="s">
        <v>75</v>
      </c>
      <c r="D74" s="295"/>
      <c r="E74" s="295">
        <f>SUM(E17:E73)</f>
        <v>11038231.999999994</v>
      </c>
      <c r="F74" s="295"/>
      <c r="G74" s="295">
        <f>SUM(G17:G73)</f>
        <v>39940981.604441464</v>
      </c>
      <c r="H74" s="295">
        <f>SUM(H17:H73)</f>
        <v>39940981.604441464</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534" t="str">
        <f ca="1">P1</f>
        <v>OKT Project 4 of 19</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2019</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1296634.8001552834</v>
      </c>
      <c r="N88" s="545">
        <f>IF(J93&lt;D11,0,VLOOKUP(J93,C17:O73,11))</f>
        <v>1296634.8001552834</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1320938.9804438266</v>
      </c>
      <c r="N89" s="549">
        <f>IF(J93&lt;D11,0,VLOOKUP(J93,C100:P155,7))</f>
        <v>1320938.9804438266</v>
      </c>
      <c r="O89" s="550">
        <f>+N89-M89</f>
        <v>0</v>
      </c>
      <c r="P89" s="244"/>
      <c r="Q89" s="244"/>
      <c r="R89" s="244"/>
      <c r="S89" s="244"/>
      <c r="T89" s="244"/>
      <c r="U89" s="244"/>
    </row>
    <row r="90" spans="1:21" ht="13.5" thickBot="1">
      <c r="C90" s="455" t="s">
        <v>82</v>
      </c>
      <c r="D90" s="551" t="str">
        <f>+D7</f>
        <v xml:space="preserve">Bartlesville SE to Coffeyville T Rebuild </v>
      </c>
      <c r="E90" s="244"/>
      <c r="F90" s="244"/>
      <c r="G90" s="244"/>
      <c r="H90" s="244"/>
      <c r="I90" s="326"/>
      <c r="J90" s="326"/>
      <c r="K90" s="552"/>
      <c r="L90" s="553" t="s">
        <v>135</v>
      </c>
      <c r="M90" s="554">
        <f>+M89-M88</f>
        <v>24304.180288543226</v>
      </c>
      <c r="N90" s="554">
        <f>+N89-N88</f>
        <v>24304.180288543226</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TP2008079</v>
      </c>
      <c r="E92" s="559"/>
      <c r="F92" s="559"/>
      <c r="G92" s="559"/>
      <c r="H92" s="559"/>
      <c r="I92" s="559"/>
      <c r="J92" s="559"/>
      <c r="K92" s="561"/>
      <c r="P92" s="469"/>
      <c r="Q92" s="244"/>
      <c r="R92" s="244"/>
      <c r="S92" s="244"/>
      <c r="T92" s="244"/>
      <c r="U92" s="244"/>
    </row>
    <row r="93" spans="1:21" ht="13">
      <c r="C93" s="473" t="s">
        <v>49</v>
      </c>
      <c r="D93" s="599">
        <f>D10</f>
        <v>11038232</v>
      </c>
      <c r="E93" s="249" t="s">
        <v>84</v>
      </c>
      <c r="H93" s="409"/>
      <c r="I93" s="409"/>
      <c r="J93" s="472">
        <f>+'OKT.WS.G.BPU.ATRR.True-up'!M16</f>
        <v>2019</v>
      </c>
      <c r="K93" s="468"/>
      <c r="L93" s="295" t="s">
        <v>85</v>
      </c>
      <c r="P93" s="279"/>
      <c r="Q93" s="244"/>
      <c r="R93" s="244"/>
      <c r="S93" s="244"/>
      <c r="T93" s="244"/>
      <c r="U93" s="244"/>
    </row>
    <row r="94" spans="1:21" ht="12.5">
      <c r="C94" s="473" t="s">
        <v>52</v>
      </c>
      <c r="D94" s="562">
        <f>IF(D11=I10,"",D11)</f>
        <v>2011</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62">
        <f>IF(D11=I10,"",D12)</f>
        <v>6</v>
      </c>
      <c r="E95" s="473" t="s">
        <v>55</v>
      </c>
      <c r="F95" s="409"/>
      <c r="G95" s="409"/>
      <c r="J95" s="477">
        <f>'OKT.WS.G.BPU.ATRR.True-up'!$F$81</f>
        <v>0.10800922592579221</v>
      </c>
      <c r="K95" s="414"/>
      <c r="L95" s="145" t="s">
        <v>86</v>
      </c>
      <c r="P95" s="279"/>
      <c r="Q95" s="244"/>
      <c r="R95" s="244"/>
      <c r="S95" s="244"/>
      <c r="T95" s="244"/>
      <c r="U95" s="244"/>
    </row>
    <row r="96" spans="1:21" ht="12.5">
      <c r="C96" s="473" t="s">
        <v>57</v>
      </c>
      <c r="D96" s="475">
        <f>'OKT.WS.G.BPU.ATRR.True-up'!F$93</f>
        <v>33</v>
      </c>
      <c r="E96" s="473" t="s">
        <v>58</v>
      </c>
      <c r="F96" s="409"/>
      <c r="G96" s="409"/>
      <c r="J96" s="477">
        <f>IF(H88="",J95,'OKT.WS.G.BPU.ATRR.True-up'!$F$80)</f>
        <v>0.10800922592579221</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334491.87878787878</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494" t="s">
        <v>71</v>
      </c>
      <c r="I99" s="490" t="s">
        <v>72</v>
      </c>
      <c r="J99" s="491" t="s">
        <v>93</v>
      </c>
      <c r="K99" s="492"/>
      <c r="L99" s="600" t="s">
        <v>74</v>
      </c>
      <c r="M99" s="600" t="s">
        <v>74</v>
      </c>
      <c r="N99" s="600" t="s">
        <v>94</v>
      </c>
      <c r="O99" s="600" t="s">
        <v>94</v>
      </c>
      <c r="P99" s="600" t="s">
        <v>94</v>
      </c>
      <c r="Q99" s="244"/>
      <c r="R99" s="244"/>
      <c r="S99" s="244"/>
      <c r="T99" s="244"/>
      <c r="U99" s="244"/>
    </row>
    <row r="100" spans="1:21" ht="12.5">
      <c r="B100" s="145" t="str">
        <f t="shared" ref="B100:B131" si="18">IF(D100=F99,"","IU")</f>
        <v>IU</v>
      </c>
      <c r="C100" s="496">
        <f>IF(D94= "","-",D94)</f>
        <v>2011</v>
      </c>
      <c r="D100" s="497">
        <v>0</v>
      </c>
      <c r="E100" s="499">
        <v>101638.13793103448</v>
      </c>
      <c r="F100" s="506">
        <v>11688385.862068966</v>
      </c>
      <c r="G100" s="572">
        <v>5844192.931034483</v>
      </c>
      <c r="H100" s="572">
        <v>536168.05303368822</v>
      </c>
      <c r="I100" s="572">
        <v>536168.05303368822</v>
      </c>
      <c r="J100" s="505">
        <v>0</v>
      </c>
      <c r="K100" s="589"/>
      <c r="L100" s="601">
        <f t="shared" ref="L100:L105" si="19">H100</f>
        <v>536168.05303368822</v>
      </c>
      <c r="M100" s="522">
        <f t="shared" ref="M100:M131" si="20">IF(L100&lt;&gt;0,+H100-L100,0)</f>
        <v>0</v>
      </c>
      <c r="N100" s="602">
        <f t="shared" ref="N100:N105" si="21">I100</f>
        <v>536168.05303368822</v>
      </c>
      <c r="O100" s="603">
        <f t="shared" ref="O100:O131" si="22">IF(N100&lt;&gt;0,+I100-N100,0)</f>
        <v>0</v>
      </c>
      <c r="P100" s="604">
        <f t="shared" ref="P100:P131" si="23">+O100-M100</f>
        <v>0</v>
      </c>
      <c r="Q100" s="244"/>
      <c r="R100" s="244"/>
      <c r="S100" s="244"/>
      <c r="T100" s="244"/>
      <c r="U100" s="244"/>
    </row>
    <row r="101" spans="1:21" ht="12.5">
      <c r="B101" s="145" t="str">
        <f t="shared" si="18"/>
        <v>IU</v>
      </c>
      <c r="C101" s="496">
        <f>IF(D94="","-",+C100+1)</f>
        <v>2012</v>
      </c>
      <c r="D101" s="497">
        <v>11641161.862068966</v>
      </c>
      <c r="E101" s="499">
        <v>202462.06896551725</v>
      </c>
      <c r="F101" s="506">
        <v>11438699.793103449</v>
      </c>
      <c r="G101" s="506">
        <v>11539930.827586208</v>
      </c>
      <c r="H101" s="499">
        <v>1372027.6470996495</v>
      </c>
      <c r="I101" s="500">
        <v>1372027.6470996495</v>
      </c>
      <c r="J101" s="505">
        <v>0</v>
      </c>
      <c r="K101" s="589"/>
      <c r="L101" s="593">
        <f t="shared" si="19"/>
        <v>1372027.6470996495</v>
      </c>
      <c r="M101" s="505">
        <f t="shared" ref="M101:M106" si="24">IF(L101&lt;&gt;0,+H101-L101,0)</f>
        <v>0</v>
      </c>
      <c r="N101" s="507">
        <f t="shared" si="21"/>
        <v>1372027.6470996495</v>
      </c>
      <c r="O101" s="351">
        <f>IF(N101&lt;&gt;0,+I101-N101,0)</f>
        <v>0</v>
      </c>
      <c r="P101" s="595">
        <f>+O101-M101</f>
        <v>0</v>
      </c>
      <c r="Q101" s="244"/>
      <c r="R101" s="244"/>
      <c r="S101" s="244"/>
      <c r="T101" s="244"/>
      <c r="U101" s="244"/>
    </row>
    <row r="102" spans="1:21" ht="12.5">
      <c r="B102" s="145" t="str">
        <f t="shared" si="18"/>
        <v/>
      </c>
      <c r="C102" s="496">
        <f>IF(D94="","-",+C101+1)</f>
        <v>2013</v>
      </c>
      <c r="D102" s="497">
        <v>11438699.793103449</v>
      </c>
      <c r="E102" s="499">
        <v>202462.06896551725</v>
      </c>
      <c r="F102" s="506">
        <v>11236237.724137932</v>
      </c>
      <c r="G102" s="506">
        <v>11337468.758620691</v>
      </c>
      <c r="H102" s="499">
        <v>1491078.2600060694</v>
      </c>
      <c r="I102" s="500">
        <v>1491078.2600060694</v>
      </c>
      <c r="J102" s="505">
        <v>0</v>
      </c>
      <c r="K102" s="505"/>
      <c r="L102" s="593">
        <f t="shared" si="19"/>
        <v>1491078.2600060694</v>
      </c>
      <c r="M102" s="505">
        <f t="shared" si="24"/>
        <v>0</v>
      </c>
      <c r="N102" s="507">
        <f t="shared" si="21"/>
        <v>1491078.2600060694</v>
      </c>
      <c r="O102" s="351">
        <f>IF(N102&lt;&gt;0,+I102-N102,0)</f>
        <v>0</v>
      </c>
      <c r="P102" s="595">
        <f>+O102-M102</f>
        <v>0</v>
      </c>
      <c r="Q102" s="244"/>
      <c r="R102" s="244"/>
      <c r="S102" s="244"/>
      <c r="T102" s="244"/>
      <c r="U102" s="244"/>
    </row>
    <row r="103" spans="1:21" ht="12.5">
      <c r="B103" s="145" t="str">
        <f t="shared" si="18"/>
        <v/>
      </c>
      <c r="C103" s="496">
        <f>IF(D94="","-",+C102+1)</f>
        <v>2014</v>
      </c>
      <c r="D103" s="497">
        <v>11236237.724137932</v>
      </c>
      <c r="E103" s="499">
        <v>202462.06896551725</v>
      </c>
      <c r="F103" s="506">
        <v>11033775.655172415</v>
      </c>
      <c r="G103" s="506">
        <v>11135006.689655174</v>
      </c>
      <c r="H103" s="499">
        <v>1399958.856395772</v>
      </c>
      <c r="I103" s="500">
        <v>1399958.856395772</v>
      </c>
      <c r="J103" s="505">
        <v>0</v>
      </c>
      <c r="K103" s="505"/>
      <c r="L103" s="593">
        <f t="shared" si="19"/>
        <v>1399958.856395772</v>
      </c>
      <c r="M103" s="505">
        <f t="shared" si="24"/>
        <v>0</v>
      </c>
      <c r="N103" s="507">
        <f t="shared" si="21"/>
        <v>1399958.856395772</v>
      </c>
      <c r="O103" s="351">
        <f>IF(N103&lt;&gt;0,+I103-N103,0)</f>
        <v>0</v>
      </c>
      <c r="P103" s="595">
        <f>+O103-M103</f>
        <v>0</v>
      </c>
      <c r="Q103" s="244"/>
      <c r="R103" s="244"/>
      <c r="S103" s="244"/>
      <c r="T103" s="244"/>
      <c r="U103" s="244"/>
    </row>
    <row r="104" spans="1:21" ht="12.5">
      <c r="B104" s="145" t="str">
        <f t="shared" si="18"/>
        <v>IU</v>
      </c>
      <c r="C104" s="496">
        <f>IF(D94="","-",+C103+1)</f>
        <v>2015</v>
      </c>
      <c r="D104" s="497">
        <v>10329207.655172413</v>
      </c>
      <c r="E104" s="499">
        <v>229963.16666666666</v>
      </c>
      <c r="F104" s="506">
        <v>10099244.488505747</v>
      </c>
      <c r="G104" s="506">
        <v>10214226.071839079</v>
      </c>
      <c r="H104" s="499">
        <v>1367107.118762597</v>
      </c>
      <c r="I104" s="500">
        <v>1367107.118762597</v>
      </c>
      <c r="J104" s="505">
        <v>0</v>
      </c>
      <c r="K104" s="505"/>
      <c r="L104" s="593">
        <f t="shared" si="19"/>
        <v>1367107.118762597</v>
      </c>
      <c r="M104" s="505">
        <f t="shared" si="24"/>
        <v>0</v>
      </c>
      <c r="N104" s="507">
        <f t="shared" si="21"/>
        <v>1367107.118762597</v>
      </c>
      <c r="O104" s="501">
        <f t="shared" si="22"/>
        <v>0</v>
      </c>
      <c r="P104" s="505">
        <f t="shared" si="23"/>
        <v>0</v>
      </c>
      <c r="Q104" s="244"/>
      <c r="R104" s="244"/>
      <c r="S104" s="244"/>
      <c r="T104" s="244"/>
      <c r="U104" s="244"/>
    </row>
    <row r="105" spans="1:21" ht="12.5">
      <c r="B105" s="145" t="str">
        <f t="shared" si="18"/>
        <v/>
      </c>
      <c r="C105" s="496">
        <f>IF(D94="","-",+C104+1)</f>
        <v>2016</v>
      </c>
      <c r="D105" s="497">
        <v>10099244.488505747</v>
      </c>
      <c r="E105" s="499">
        <v>216435.92156862744</v>
      </c>
      <c r="F105" s="506">
        <v>9882808.5669371206</v>
      </c>
      <c r="G105" s="506">
        <v>9991026.5277214348</v>
      </c>
      <c r="H105" s="499">
        <v>1299158.0653771381</v>
      </c>
      <c r="I105" s="500">
        <v>1299158.0653771381</v>
      </c>
      <c r="J105" s="505">
        <f t="shared" ref="J105:J131" si="25">+I105-H105</f>
        <v>0</v>
      </c>
      <c r="K105" s="505"/>
      <c r="L105" s="593">
        <f t="shared" si="19"/>
        <v>1299158.0653771381</v>
      </c>
      <c r="M105" s="505">
        <f t="shared" si="24"/>
        <v>0</v>
      </c>
      <c r="N105" s="507">
        <f t="shared" si="21"/>
        <v>1299158.0653771381</v>
      </c>
      <c r="O105" s="501">
        <f>IF(N105&lt;&gt;0,+I105-N105,0)</f>
        <v>0</v>
      </c>
      <c r="P105" s="505">
        <f>+O105-M105</f>
        <v>0</v>
      </c>
      <c r="Q105" s="244"/>
      <c r="R105" s="244"/>
      <c r="S105" s="244"/>
      <c r="T105" s="244"/>
      <c r="U105" s="244"/>
    </row>
    <row r="106" spans="1:21" ht="12.5">
      <c r="B106" s="145" t="str">
        <f t="shared" si="18"/>
        <v/>
      </c>
      <c r="C106" s="496">
        <f>IF(D94="","-",+C105+1)</f>
        <v>2017</v>
      </c>
      <c r="D106" s="497">
        <v>9882808.5669371206</v>
      </c>
      <c r="E106" s="499">
        <v>275955.8</v>
      </c>
      <c r="F106" s="506">
        <v>9606852.7669371199</v>
      </c>
      <c r="G106" s="506">
        <v>9744830.6669371203</v>
      </c>
      <c r="H106" s="499">
        <v>1419373.9279001462</v>
      </c>
      <c r="I106" s="500">
        <v>1419373.9279001462</v>
      </c>
      <c r="J106" s="505">
        <v>0</v>
      </c>
      <c r="K106" s="505"/>
      <c r="L106" s="593">
        <f>H106</f>
        <v>1419373.9279001462</v>
      </c>
      <c r="M106" s="505">
        <f t="shared" si="24"/>
        <v>0</v>
      </c>
      <c r="N106" s="507">
        <f>I106</f>
        <v>1419373.9279001462</v>
      </c>
      <c r="O106" s="501">
        <f>IF(N106&lt;&gt;0,+I106-N106,0)</f>
        <v>0</v>
      </c>
      <c r="P106" s="505">
        <f>+O106-M106</f>
        <v>0</v>
      </c>
      <c r="Q106" s="244"/>
      <c r="R106" s="244"/>
      <c r="S106" s="244"/>
      <c r="T106" s="244"/>
      <c r="U106" s="244"/>
    </row>
    <row r="107" spans="1:21" ht="12.5">
      <c r="B107" s="145" t="str">
        <f t="shared" si="18"/>
        <v/>
      </c>
      <c r="C107" s="496">
        <f>IF(D94="","-",+C106+1)</f>
        <v>2018</v>
      </c>
      <c r="D107" s="497">
        <v>9606852.7669371199</v>
      </c>
      <c r="E107" s="499">
        <v>306617.55555555556</v>
      </c>
      <c r="F107" s="506">
        <v>9300235.2113815639</v>
      </c>
      <c r="G107" s="506">
        <v>9453543.9891593419</v>
      </c>
      <c r="H107" s="499">
        <v>1304556.8117171286</v>
      </c>
      <c r="I107" s="500">
        <v>1304556.8117171286</v>
      </c>
      <c r="J107" s="505">
        <f t="shared" si="25"/>
        <v>0</v>
      </c>
      <c r="K107" s="505"/>
      <c r="L107" s="593">
        <f>H107</f>
        <v>1304556.8117171286</v>
      </c>
      <c r="M107" s="505">
        <f t="shared" ref="M107" si="26">IF(L107&lt;&gt;0,+H107-L107,0)</f>
        <v>0</v>
      </c>
      <c r="N107" s="507">
        <f>I107</f>
        <v>1304556.8117171286</v>
      </c>
      <c r="O107" s="501">
        <f>IF(N107&lt;&gt;0,+I107-N107,0)</f>
        <v>0</v>
      </c>
      <c r="P107" s="505">
        <f>+O107-M107</f>
        <v>0</v>
      </c>
      <c r="Q107" s="244"/>
      <c r="R107" s="244"/>
      <c r="S107" s="244"/>
      <c r="T107" s="244"/>
      <c r="U107" s="244"/>
    </row>
    <row r="108" spans="1:21" ht="12.5">
      <c r="B108" s="145" t="str">
        <f t="shared" si="18"/>
        <v/>
      </c>
      <c r="C108" s="496">
        <f>IF(D94="","-",+C107+1)</f>
        <v>2019</v>
      </c>
      <c r="D108" s="350">
        <f>IF(F107+SUM(E$100:E107)=D$93,F107,D$93-SUM(E$100:E107))</f>
        <v>9300235.2113815639</v>
      </c>
      <c r="E108" s="510">
        <f>IF(+J97&lt;F107,J97,D108)</f>
        <v>334491.87878787878</v>
      </c>
      <c r="F108" s="511">
        <f t="shared" ref="F108:F132" si="27">+D108-E108</f>
        <v>8965743.332593685</v>
      </c>
      <c r="G108" s="511">
        <f t="shared" ref="G108:G131" si="28">+(F108+D108)/2</f>
        <v>9132989.2719876245</v>
      </c>
      <c r="H108" s="524">
        <f t="shared" ref="H108:H131" si="29">+J$95*G108+E108</f>
        <v>1320938.9804438266</v>
      </c>
      <c r="I108" s="573">
        <f t="shared" ref="I108:I131" si="30">+J$96*G108+E108</f>
        <v>1320938.9804438266</v>
      </c>
      <c r="J108" s="505">
        <f t="shared" si="25"/>
        <v>0</v>
      </c>
      <c r="K108" s="505"/>
      <c r="L108" s="513"/>
      <c r="M108" s="505">
        <f t="shared" si="20"/>
        <v>0</v>
      </c>
      <c r="N108" s="513"/>
      <c r="O108" s="505">
        <f t="shared" si="22"/>
        <v>0</v>
      </c>
      <c r="P108" s="505">
        <f t="shared" si="23"/>
        <v>0</v>
      </c>
      <c r="Q108" s="244"/>
      <c r="R108" s="244"/>
      <c r="S108" s="244"/>
      <c r="T108" s="244"/>
      <c r="U108" s="244"/>
    </row>
    <row r="109" spans="1:21" ht="12.5">
      <c r="B109" s="145" t="str">
        <f t="shared" si="18"/>
        <v/>
      </c>
      <c r="C109" s="496">
        <f>IF(D94="","-",+C108+1)</f>
        <v>2020</v>
      </c>
      <c r="D109" s="350">
        <f>IF(F108+SUM(E$100:E108)=D$93,F108,D$93-SUM(E$100:E108))</f>
        <v>8965743.332593685</v>
      </c>
      <c r="E109" s="510">
        <f>IF(+J97&lt;F108,J97,D109)</f>
        <v>334491.87878787878</v>
      </c>
      <c r="F109" s="511">
        <f t="shared" si="27"/>
        <v>8631251.4538058061</v>
      </c>
      <c r="G109" s="511">
        <f t="shared" si="28"/>
        <v>8798497.3931997456</v>
      </c>
      <c r="H109" s="524">
        <f t="shared" si="29"/>
        <v>1284810.7715374839</v>
      </c>
      <c r="I109" s="573">
        <f t="shared" si="30"/>
        <v>1284810.7715374839</v>
      </c>
      <c r="J109" s="505">
        <f t="shared" si="25"/>
        <v>0</v>
      </c>
      <c r="K109" s="505"/>
      <c r="L109" s="513"/>
      <c r="M109" s="505">
        <f t="shared" si="20"/>
        <v>0</v>
      </c>
      <c r="N109" s="513"/>
      <c r="O109" s="505">
        <f t="shared" si="22"/>
        <v>0</v>
      </c>
      <c r="P109" s="505">
        <f t="shared" si="23"/>
        <v>0</v>
      </c>
      <c r="Q109" s="244"/>
      <c r="R109" s="244"/>
      <c r="S109" s="244"/>
      <c r="T109" s="244"/>
      <c r="U109" s="244"/>
    </row>
    <row r="110" spans="1:21" ht="12.5">
      <c r="B110" s="145" t="str">
        <f t="shared" si="18"/>
        <v/>
      </c>
      <c r="C110" s="496">
        <f>IF(D94="","-",+C109+1)</f>
        <v>2021</v>
      </c>
      <c r="D110" s="350">
        <f>IF(F109+SUM(E$100:E109)=D$93,F109,D$93-SUM(E$100:E109))</f>
        <v>8631251.4538058061</v>
      </c>
      <c r="E110" s="510">
        <f>IF(+J97&lt;F109,J97,D110)</f>
        <v>334491.87878787878</v>
      </c>
      <c r="F110" s="511">
        <f t="shared" si="27"/>
        <v>8296759.5750179272</v>
      </c>
      <c r="G110" s="511">
        <f t="shared" si="28"/>
        <v>8464005.5144118667</v>
      </c>
      <c r="H110" s="524">
        <f t="shared" si="29"/>
        <v>1248682.5626311412</v>
      </c>
      <c r="I110" s="573">
        <f t="shared" si="30"/>
        <v>1248682.5626311412</v>
      </c>
      <c r="J110" s="505">
        <f t="shared" si="25"/>
        <v>0</v>
      </c>
      <c r="K110" s="505"/>
      <c r="L110" s="513"/>
      <c r="M110" s="505">
        <f t="shared" si="20"/>
        <v>0</v>
      </c>
      <c r="N110" s="513"/>
      <c r="O110" s="505">
        <f t="shared" si="22"/>
        <v>0</v>
      </c>
      <c r="P110" s="505">
        <f t="shared" si="23"/>
        <v>0</v>
      </c>
      <c r="Q110" s="244"/>
      <c r="R110" s="244"/>
      <c r="S110" s="244"/>
      <c r="T110" s="244"/>
      <c r="U110" s="244"/>
    </row>
    <row r="111" spans="1:21" ht="12.5">
      <c r="B111" s="145" t="str">
        <f t="shared" si="18"/>
        <v/>
      </c>
      <c r="C111" s="496">
        <f>IF(D94="","-",+C110+1)</f>
        <v>2022</v>
      </c>
      <c r="D111" s="350">
        <f>IF(F110+SUM(E$100:E110)=D$93,F110,D$93-SUM(E$100:E110))</f>
        <v>8296759.5750179272</v>
      </c>
      <c r="E111" s="510">
        <f>IF(+J97&lt;F110,J97,D111)</f>
        <v>334491.87878787878</v>
      </c>
      <c r="F111" s="511">
        <f t="shared" si="27"/>
        <v>7962267.6962300483</v>
      </c>
      <c r="G111" s="511">
        <f t="shared" si="28"/>
        <v>8129513.6356239878</v>
      </c>
      <c r="H111" s="524">
        <f t="shared" si="29"/>
        <v>1212554.3537247984</v>
      </c>
      <c r="I111" s="573">
        <f t="shared" si="30"/>
        <v>1212554.3537247984</v>
      </c>
      <c r="J111" s="505">
        <f t="shared" si="25"/>
        <v>0</v>
      </c>
      <c r="K111" s="505"/>
      <c r="L111" s="513"/>
      <c r="M111" s="505">
        <f t="shared" si="20"/>
        <v>0</v>
      </c>
      <c r="N111" s="513"/>
      <c r="O111" s="505">
        <f t="shared" si="22"/>
        <v>0</v>
      </c>
      <c r="P111" s="505">
        <f t="shared" si="23"/>
        <v>0</v>
      </c>
      <c r="Q111" s="244"/>
      <c r="R111" s="244"/>
      <c r="S111" s="244"/>
      <c r="T111" s="244"/>
      <c r="U111" s="244"/>
    </row>
    <row r="112" spans="1:21" ht="12.5">
      <c r="B112" s="145" t="str">
        <f t="shared" si="18"/>
        <v/>
      </c>
      <c r="C112" s="496">
        <f>IF(D94="","-",+C111+1)</f>
        <v>2023</v>
      </c>
      <c r="D112" s="350">
        <f>IF(F111+SUM(E$100:E111)=D$93,F111,D$93-SUM(E$100:E111))</f>
        <v>7962267.6962300483</v>
      </c>
      <c r="E112" s="510">
        <f>IF(+J97&lt;F111,J97,D112)</f>
        <v>334491.87878787878</v>
      </c>
      <c r="F112" s="511">
        <f t="shared" si="27"/>
        <v>7627775.8174421694</v>
      </c>
      <c r="G112" s="511">
        <f t="shared" si="28"/>
        <v>7795021.7568361089</v>
      </c>
      <c r="H112" s="524">
        <f t="shared" si="29"/>
        <v>1176426.1448184559</v>
      </c>
      <c r="I112" s="573">
        <f t="shared" si="30"/>
        <v>1176426.1448184559</v>
      </c>
      <c r="J112" s="505">
        <f t="shared" si="25"/>
        <v>0</v>
      </c>
      <c r="K112" s="505"/>
      <c r="L112" s="513"/>
      <c r="M112" s="505">
        <f t="shared" si="20"/>
        <v>0</v>
      </c>
      <c r="N112" s="513"/>
      <c r="O112" s="505">
        <f t="shared" si="22"/>
        <v>0</v>
      </c>
      <c r="P112" s="505">
        <f t="shared" si="23"/>
        <v>0</v>
      </c>
      <c r="Q112" s="244"/>
      <c r="R112" s="244"/>
      <c r="S112" s="244"/>
      <c r="T112" s="244"/>
      <c r="U112" s="244"/>
    </row>
    <row r="113" spans="2:21" ht="12.5">
      <c r="B113" s="145" t="str">
        <f t="shared" si="18"/>
        <v/>
      </c>
      <c r="C113" s="496">
        <f>IF(D94="","-",+C112+1)</f>
        <v>2024</v>
      </c>
      <c r="D113" s="350">
        <f>IF(F112+SUM(E$100:E112)=D$93,F112,D$93-SUM(E$100:E112))</f>
        <v>7627775.8174421694</v>
      </c>
      <c r="E113" s="510">
        <f>IF(+J97&lt;F112,J97,D113)</f>
        <v>334491.87878787878</v>
      </c>
      <c r="F113" s="511">
        <f t="shared" si="27"/>
        <v>7293283.9386542905</v>
      </c>
      <c r="G113" s="511">
        <f t="shared" si="28"/>
        <v>7460529.87804823</v>
      </c>
      <c r="H113" s="524">
        <f t="shared" si="29"/>
        <v>1140297.9359121132</v>
      </c>
      <c r="I113" s="573">
        <f t="shared" si="30"/>
        <v>1140297.9359121132</v>
      </c>
      <c r="J113" s="505">
        <f t="shared" si="25"/>
        <v>0</v>
      </c>
      <c r="K113" s="505"/>
      <c r="L113" s="513"/>
      <c r="M113" s="505">
        <f t="shared" si="20"/>
        <v>0</v>
      </c>
      <c r="N113" s="513"/>
      <c r="O113" s="505">
        <f t="shared" si="22"/>
        <v>0</v>
      </c>
      <c r="P113" s="505">
        <f t="shared" si="23"/>
        <v>0</v>
      </c>
      <c r="Q113" s="244"/>
      <c r="R113" s="244"/>
      <c r="S113" s="244"/>
      <c r="T113" s="244"/>
      <c r="U113" s="244"/>
    </row>
    <row r="114" spans="2:21" ht="12.5">
      <c r="B114" s="145" t="str">
        <f t="shared" si="18"/>
        <v/>
      </c>
      <c r="C114" s="496">
        <f>IF(D94="","-",+C113+1)</f>
        <v>2025</v>
      </c>
      <c r="D114" s="350">
        <f>IF(F113+SUM(E$100:E113)=D$93,F113,D$93-SUM(E$100:E113))</f>
        <v>7293283.9386542905</v>
      </c>
      <c r="E114" s="510">
        <f>IF(+J97&lt;F113,J97,D114)</f>
        <v>334491.87878787878</v>
      </c>
      <c r="F114" s="511">
        <f t="shared" si="27"/>
        <v>6958792.0598664116</v>
      </c>
      <c r="G114" s="511">
        <f t="shared" si="28"/>
        <v>7126037.9992603511</v>
      </c>
      <c r="H114" s="524">
        <f t="shared" si="29"/>
        <v>1104169.7270057704</v>
      </c>
      <c r="I114" s="573">
        <f t="shared" si="30"/>
        <v>1104169.7270057704</v>
      </c>
      <c r="J114" s="505">
        <f t="shared" si="25"/>
        <v>0</v>
      </c>
      <c r="K114" s="505"/>
      <c r="L114" s="513"/>
      <c r="M114" s="505">
        <f t="shared" si="20"/>
        <v>0</v>
      </c>
      <c r="N114" s="513"/>
      <c r="O114" s="505">
        <f t="shared" si="22"/>
        <v>0</v>
      </c>
      <c r="P114" s="505">
        <f t="shared" si="23"/>
        <v>0</v>
      </c>
      <c r="Q114" s="244"/>
      <c r="R114" s="244"/>
      <c r="S114" s="244"/>
      <c r="T114" s="244"/>
      <c r="U114" s="244"/>
    </row>
    <row r="115" spans="2:21" ht="12.5">
      <c r="B115" s="145" t="str">
        <f t="shared" si="18"/>
        <v/>
      </c>
      <c r="C115" s="496">
        <f>IF(D94="","-",+C114+1)</f>
        <v>2026</v>
      </c>
      <c r="D115" s="350">
        <f>IF(F114+SUM(E$100:E114)=D$93,F114,D$93-SUM(E$100:E114))</f>
        <v>6958792.0598664116</v>
      </c>
      <c r="E115" s="510">
        <f>IF(+J97&lt;F114,J97,D115)</f>
        <v>334491.87878787878</v>
      </c>
      <c r="F115" s="511">
        <f t="shared" si="27"/>
        <v>6624300.1810785327</v>
      </c>
      <c r="G115" s="511">
        <f t="shared" si="28"/>
        <v>6791546.1204724722</v>
      </c>
      <c r="H115" s="524">
        <f t="shared" si="29"/>
        <v>1068041.5180994277</v>
      </c>
      <c r="I115" s="573">
        <f t="shared" si="30"/>
        <v>1068041.5180994277</v>
      </c>
      <c r="J115" s="505">
        <f t="shared" si="25"/>
        <v>0</v>
      </c>
      <c r="K115" s="505"/>
      <c r="L115" s="513"/>
      <c r="M115" s="505">
        <f t="shared" si="20"/>
        <v>0</v>
      </c>
      <c r="N115" s="513"/>
      <c r="O115" s="505">
        <f t="shared" si="22"/>
        <v>0</v>
      </c>
      <c r="P115" s="505">
        <f t="shared" si="23"/>
        <v>0</v>
      </c>
      <c r="Q115" s="244"/>
      <c r="R115" s="244"/>
      <c r="S115" s="244"/>
      <c r="T115" s="244"/>
      <c r="U115" s="244"/>
    </row>
    <row r="116" spans="2:21" ht="12.5">
      <c r="B116" s="145" t="str">
        <f t="shared" si="18"/>
        <v/>
      </c>
      <c r="C116" s="496">
        <f>IF(D94="","-",+C115+1)</f>
        <v>2027</v>
      </c>
      <c r="D116" s="350">
        <f>IF(F115+SUM(E$100:E115)=D$93,F115,D$93-SUM(E$100:E115))</f>
        <v>6624300.1810785327</v>
      </c>
      <c r="E116" s="510">
        <f>IF(+J97&lt;F115,J97,D116)</f>
        <v>334491.87878787878</v>
      </c>
      <c r="F116" s="511">
        <f t="shared" si="27"/>
        <v>6289808.3022906538</v>
      </c>
      <c r="G116" s="511">
        <f t="shared" si="28"/>
        <v>6457054.2416845933</v>
      </c>
      <c r="H116" s="524">
        <f t="shared" si="29"/>
        <v>1031913.3091930849</v>
      </c>
      <c r="I116" s="573">
        <f t="shared" si="30"/>
        <v>1031913.3091930849</v>
      </c>
      <c r="J116" s="505">
        <f t="shared" si="25"/>
        <v>0</v>
      </c>
      <c r="K116" s="505"/>
      <c r="L116" s="513"/>
      <c r="M116" s="505">
        <f t="shared" si="20"/>
        <v>0</v>
      </c>
      <c r="N116" s="513"/>
      <c r="O116" s="505">
        <f t="shared" si="22"/>
        <v>0</v>
      </c>
      <c r="P116" s="505">
        <f t="shared" si="23"/>
        <v>0</v>
      </c>
      <c r="Q116" s="244"/>
      <c r="R116" s="244"/>
      <c r="S116" s="244"/>
      <c r="T116" s="244"/>
      <c r="U116" s="244"/>
    </row>
    <row r="117" spans="2:21" ht="12.5">
      <c r="B117" s="145" t="str">
        <f t="shared" si="18"/>
        <v/>
      </c>
      <c r="C117" s="496">
        <f>IF(D94="","-",+C116+1)</f>
        <v>2028</v>
      </c>
      <c r="D117" s="350">
        <f>IF(F116+SUM(E$100:E116)=D$93,F116,D$93-SUM(E$100:E116))</f>
        <v>6289808.3022906538</v>
      </c>
      <c r="E117" s="510">
        <f>IF(+J97&lt;F116,J97,D117)</f>
        <v>334491.87878787878</v>
      </c>
      <c r="F117" s="511">
        <f t="shared" si="27"/>
        <v>5955316.4235027749</v>
      </c>
      <c r="G117" s="511">
        <f t="shared" si="28"/>
        <v>6122562.3628967144</v>
      </c>
      <c r="H117" s="524">
        <f t="shared" si="29"/>
        <v>995785.10028674221</v>
      </c>
      <c r="I117" s="573">
        <f t="shared" si="30"/>
        <v>995785.10028674221</v>
      </c>
      <c r="J117" s="505">
        <f t="shared" si="25"/>
        <v>0</v>
      </c>
      <c r="K117" s="505"/>
      <c r="L117" s="513"/>
      <c r="M117" s="505">
        <f t="shared" si="20"/>
        <v>0</v>
      </c>
      <c r="N117" s="513"/>
      <c r="O117" s="505">
        <f t="shared" si="22"/>
        <v>0</v>
      </c>
      <c r="P117" s="505">
        <f t="shared" si="23"/>
        <v>0</v>
      </c>
      <c r="Q117" s="244"/>
      <c r="R117" s="244"/>
      <c r="S117" s="244"/>
      <c r="T117" s="244"/>
      <c r="U117" s="244"/>
    </row>
    <row r="118" spans="2:21" ht="12.5">
      <c r="B118" s="145" t="str">
        <f t="shared" si="18"/>
        <v/>
      </c>
      <c r="C118" s="496">
        <f>IF(D94="","-",+C117+1)</f>
        <v>2029</v>
      </c>
      <c r="D118" s="350">
        <f>IF(F117+SUM(E$100:E117)=D$93,F117,D$93-SUM(E$100:E117))</f>
        <v>5955316.4235027749</v>
      </c>
      <c r="E118" s="510">
        <f>IF(+J97&lt;F117,J97,D118)</f>
        <v>334491.87878787878</v>
      </c>
      <c r="F118" s="511">
        <f t="shared" si="27"/>
        <v>5620824.544714896</v>
      </c>
      <c r="G118" s="511">
        <f t="shared" si="28"/>
        <v>5788070.4841088355</v>
      </c>
      <c r="H118" s="524">
        <f t="shared" si="29"/>
        <v>959656.89138039947</v>
      </c>
      <c r="I118" s="573">
        <f t="shared" si="30"/>
        <v>959656.89138039947</v>
      </c>
      <c r="J118" s="505">
        <f t="shared" si="25"/>
        <v>0</v>
      </c>
      <c r="K118" s="505"/>
      <c r="L118" s="513"/>
      <c r="M118" s="505">
        <f t="shared" si="20"/>
        <v>0</v>
      </c>
      <c r="N118" s="513"/>
      <c r="O118" s="505">
        <f t="shared" si="22"/>
        <v>0</v>
      </c>
      <c r="P118" s="505">
        <f t="shared" si="23"/>
        <v>0</v>
      </c>
      <c r="Q118" s="244"/>
      <c r="R118" s="244"/>
      <c r="S118" s="244"/>
      <c r="T118" s="244"/>
      <c r="U118" s="244"/>
    </row>
    <row r="119" spans="2:21" ht="12.5">
      <c r="B119" s="145" t="str">
        <f t="shared" si="18"/>
        <v/>
      </c>
      <c r="C119" s="496">
        <f>IF(D94="","-",+C118+1)</f>
        <v>2030</v>
      </c>
      <c r="D119" s="350">
        <f>IF(F118+SUM(E$100:E118)=D$93,F118,D$93-SUM(E$100:E118))</f>
        <v>5620824.544714896</v>
      </c>
      <c r="E119" s="510">
        <f>IF(+J97&lt;F118,J97,D119)</f>
        <v>334491.87878787878</v>
      </c>
      <c r="F119" s="511">
        <f t="shared" si="27"/>
        <v>5286332.6659270171</v>
      </c>
      <c r="G119" s="511">
        <f t="shared" si="28"/>
        <v>5453578.6053209566</v>
      </c>
      <c r="H119" s="524">
        <f t="shared" si="29"/>
        <v>923528.68247405672</v>
      </c>
      <c r="I119" s="573">
        <f t="shared" si="30"/>
        <v>923528.68247405672</v>
      </c>
      <c r="J119" s="505">
        <f t="shared" si="25"/>
        <v>0</v>
      </c>
      <c r="K119" s="505"/>
      <c r="L119" s="513"/>
      <c r="M119" s="505">
        <f t="shared" si="20"/>
        <v>0</v>
      </c>
      <c r="N119" s="513"/>
      <c r="O119" s="505">
        <f t="shared" si="22"/>
        <v>0</v>
      </c>
      <c r="P119" s="505">
        <f t="shared" si="23"/>
        <v>0</v>
      </c>
      <c r="Q119" s="244"/>
      <c r="R119" s="244"/>
      <c r="S119" s="244"/>
      <c r="T119" s="244"/>
      <c r="U119" s="244"/>
    </row>
    <row r="120" spans="2:21" ht="12.5">
      <c r="B120" s="145" t="str">
        <f t="shared" si="18"/>
        <v/>
      </c>
      <c r="C120" s="496">
        <f>IF(D94="","-",+C119+1)</f>
        <v>2031</v>
      </c>
      <c r="D120" s="350">
        <f>IF(F119+SUM(E$100:E119)=D$93,F119,D$93-SUM(E$100:E119))</f>
        <v>5286332.6659270171</v>
      </c>
      <c r="E120" s="510">
        <f>IF(+J97&lt;F119,J97,D120)</f>
        <v>334491.87878787878</v>
      </c>
      <c r="F120" s="511">
        <f t="shared" si="27"/>
        <v>4951840.7871391382</v>
      </c>
      <c r="G120" s="511">
        <f t="shared" si="28"/>
        <v>5119086.7265330777</v>
      </c>
      <c r="H120" s="524">
        <f t="shared" si="29"/>
        <v>887400.47356771398</v>
      </c>
      <c r="I120" s="573">
        <f t="shared" si="30"/>
        <v>887400.47356771398</v>
      </c>
      <c r="J120" s="505">
        <f t="shared" si="25"/>
        <v>0</v>
      </c>
      <c r="K120" s="505"/>
      <c r="L120" s="513"/>
      <c r="M120" s="505">
        <f t="shared" si="20"/>
        <v>0</v>
      </c>
      <c r="N120" s="513"/>
      <c r="O120" s="505">
        <f t="shared" si="22"/>
        <v>0</v>
      </c>
      <c r="P120" s="505">
        <f t="shared" si="23"/>
        <v>0</v>
      </c>
      <c r="Q120" s="244"/>
      <c r="R120" s="244"/>
      <c r="S120" s="244"/>
      <c r="T120" s="244"/>
      <c r="U120" s="244"/>
    </row>
    <row r="121" spans="2:21" ht="12.5">
      <c r="B121" s="145" t="str">
        <f t="shared" si="18"/>
        <v/>
      </c>
      <c r="C121" s="496">
        <f>IF(D94="","-",+C120+1)</f>
        <v>2032</v>
      </c>
      <c r="D121" s="350">
        <f>IF(F120+SUM(E$100:E120)=D$93,F120,D$93-SUM(E$100:E120))</f>
        <v>4951840.7871391382</v>
      </c>
      <c r="E121" s="510">
        <f>IF(+J97&lt;F120,J97,D121)</f>
        <v>334491.87878787878</v>
      </c>
      <c r="F121" s="511">
        <f t="shared" si="27"/>
        <v>4617348.9083512593</v>
      </c>
      <c r="G121" s="511">
        <f t="shared" si="28"/>
        <v>4784594.8477451988</v>
      </c>
      <c r="H121" s="524">
        <f t="shared" si="29"/>
        <v>851272.26466137124</v>
      </c>
      <c r="I121" s="573">
        <f t="shared" si="30"/>
        <v>851272.26466137124</v>
      </c>
      <c r="J121" s="505">
        <f t="shared" si="25"/>
        <v>0</v>
      </c>
      <c r="K121" s="505"/>
      <c r="L121" s="513"/>
      <c r="M121" s="505">
        <f t="shared" si="20"/>
        <v>0</v>
      </c>
      <c r="N121" s="513"/>
      <c r="O121" s="505">
        <f t="shared" si="22"/>
        <v>0</v>
      </c>
      <c r="P121" s="505">
        <f t="shared" si="23"/>
        <v>0</v>
      </c>
      <c r="Q121" s="244"/>
      <c r="R121" s="244"/>
      <c r="S121" s="244"/>
      <c r="T121" s="244"/>
      <c r="U121" s="244"/>
    </row>
    <row r="122" spans="2:21" ht="12.5">
      <c r="B122" s="145" t="str">
        <f t="shared" si="18"/>
        <v/>
      </c>
      <c r="C122" s="496">
        <f>IF(D94="","-",+C121+1)</f>
        <v>2033</v>
      </c>
      <c r="D122" s="350">
        <f>IF(F121+SUM(E$100:E121)=D$93,F121,D$93-SUM(E$100:E121))</f>
        <v>4617348.9083512593</v>
      </c>
      <c r="E122" s="510">
        <f>IF(+J97&lt;F121,J97,D122)</f>
        <v>334491.87878787878</v>
      </c>
      <c r="F122" s="511">
        <f t="shared" si="27"/>
        <v>4282857.0295633804</v>
      </c>
      <c r="G122" s="511">
        <f t="shared" si="28"/>
        <v>4450102.9689573199</v>
      </c>
      <c r="H122" s="524">
        <f t="shared" si="29"/>
        <v>815144.05575502862</v>
      </c>
      <c r="I122" s="573">
        <f t="shared" si="30"/>
        <v>815144.05575502862</v>
      </c>
      <c r="J122" s="505">
        <f t="shared" si="25"/>
        <v>0</v>
      </c>
      <c r="K122" s="505"/>
      <c r="L122" s="513"/>
      <c r="M122" s="505">
        <f t="shared" si="20"/>
        <v>0</v>
      </c>
      <c r="N122" s="513"/>
      <c r="O122" s="505">
        <f t="shared" si="22"/>
        <v>0</v>
      </c>
      <c r="P122" s="505">
        <f t="shared" si="23"/>
        <v>0</v>
      </c>
      <c r="Q122" s="244"/>
      <c r="R122" s="244"/>
      <c r="S122" s="244"/>
      <c r="T122" s="244"/>
      <c r="U122" s="244"/>
    </row>
    <row r="123" spans="2:21" ht="12.5">
      <c r="B123" s="145" t="str">
        <f t="shared" si="18"/>
        <v/>
      </c>
      <c r="C123" s="496">
        <f>IF(D94="","-",+C122+1)</f>
        <v>2034</v>
      </c>
      <c r="D123" s="350">
        <f>IF(F122+SUM(E$100:E122)=D$93,F122,D$93-SUM(E$100:E122))</f>
        <v>4282857.0295633804</v>
      </c>
      <c r="E123" s="510">
        <f>IF(+J97&lt;F122,J97,D123)</f>
        <v>334491.87878787878</v>
      </c>
      <c r="F123" s="511">
        <f t="shared" si="27"/>
        <v>3948365.1507755015</v>
      </c>
      <c r="G123" s="511">
        <f t="shared" si="28"/>
        <v>4115611.090169441</v>
      </c>
      <c r="H123" s="524">
        <f t="shared" si="29"/>
        <v>779015.84684868588</v>
      </c>
      <c r="I123" s="573">
        <f t="shared" si="30"/>
        <v>779015.84684868588</v>
      </c>
      <c r="J123" s="505">
        <f t="shared" si="25"/>
        <v>0</v>
      </c>
      <c r="K123" s="505"/>
      <c r="L123" s="513"/>
      <c r="M123" s="505">
        <f t="shared" si="20"/>
        <v>0</v>
      </c>
      <c r="N123" s="513"/>
      <c r="O123" s="505">
        <f t="shared" si="22"/>
        <v>0</v>
      </c>
      <c r="P123" s="505">
        <f t="shared" si="23"/>
        <v>0</v>
      </c>
      <c r="Q123" s="244"/>
      <c r="R123" s="244"/>
      <c r="S123" s="244"/>
      <c r="T123" s="244"/>
      <c r="U123" s="244"/>
    </row>
    <row r="124" spans="2:21" ht="12.5">
      <c r="B124" s="145" t="str">
        <f t="shared" si="18"/>
        <v/>
      </c>
      <c r="C124" s="496">
        <f>IF(D94="","-",+C123+1)</f>
        <v>2035</v>
      </c>
      <c r="D124" s="350">
        <f>IF(F123+SUM(E$100:E123)=D$93,F123,D$93-SUM(E$100:E123))</f>
        <v>3948365.1507755015</v>
      </c>
      <c r="E124" s="510">
        <f>IF(+J97&lt;F123,J97,D124)</f>
        <v>334491.87878787878</v>
      </c>
      <c r="F124" s="511">
        <f t="shared" si="27"/>
        <v>3613873.2719876226</v>
      </c>
      <c r="G124" s="511">
        <f t="shared" si="28"/>
        <v>3781119.2113815621</v>
      </c>
      <c r="H124" s="524">
        <f t="shared" si="29"/>
        <v>742887.63794234325</v>
      </c>
      <c r="I124" s="573">
        <f t="shared" si="30"/>
        <v>742887.63794234325</v>
      </c>
      <c r="J124" s="505">
        <f t="shared" si="25"/>
        <v>0</v>
      </c>
      <c r="K124" s="505"/>
      <c r="L124" s="513"/>
      <c r="M124" s="505">
        <f t="shared" si="20"/>
        <v>0</v>
      </c>
      <c r="N124" s="513"/>
      <c r="O124" s="505">
        <f t="shared" si="22"/>
        <v>0</v>
      </c>
      <c r="P124" s="505">
        <f t="shared" si="23"/>
        <v>0</v>
      </c>
      <c r="Q124" s="244"/>
      <c r="R124" s="244"/>
      <c r="S124" s="244"/>
      <c r="T124" s="244"/>
      <c r="U124" s="244"/>
    </row>
    <row r="125" spans="2:21" ht="12.5">
      <c r="B125" s="145" t="str">
        <f t="shared" si="18"/>
        <v/>
      </c>
      <c r="C125" s="496">
        <f>IF(D94="","-",+C124+1)</f>
        <v>2036</v>
      </c>
      <c r="D125" s="350">
        <f>IF(F124+SUM(E$100:E124)=D$93,F124,D$93-SUM(E$100:E124))</f>
        <v>3613873.2719876226</v>
      </c>
      <c r="E125" s="510">
        <f>IF(+J97&lt;F124,J97,D125)</f>
        <v>334491.87878787878</v>
      </c>
      <c r="F125" s="511">
        <f t="shared" si="27"/>
        <v>3279381.3931997437</v>
      </c>
      <c r="G125" s="511">
        <f t="shared" si="28"/>
        <v>3446627.3325936832</v>
      </c>
      <c r="H125" s="524">
        <f t="shared" si="29"/>
        <v>706759.42903600051</v>
      </c>
      <c r="I125" s="573">
        <f t="shared" si="30"/>
        <v>706759.42903600051</v>
      </c>
      <c r="J125" s="505">
        <f t="shared" si="25"/>
        <v>0</v>
      </c>
      <c r="K125" s="505"/>
      <c r="L125" s="513"/>
      <c r="M125" s="505">
        <f t="shared" si="20"/>
        <v>0</v>
      </c>
      <c r="N125" s="513"/>
      <c r="O125" s="505">
        <f t="shared" si="22"/>
        <v>0</v>
      </c>
      <c r="P125" s="505">
        <f t="shared" si="23"/>
        <v>0</v>
      </c>
      <c r="Q125" s="244"/>
      <c r="R125" s="244"/>
      <c r="S125" s="244"/>
      <c r="T125" s="244"/>
      <c r="U125" s="244"/>
    </row>
    <row r="126" spans="2:21" ht="12.5">
      <c r="B126" s="145" t="str">
        <f t="shared" si="18"/>
        <v/>
      </c>
      <c r="C126" s="496">
        <f>IF(D94="","-",+C125+1)</f>
        <v>2037</v>
      </c>
      <c r="D126" s="350">
        <f>IF(F125+SUM(E$100:E125)=D$93,F125,D$93-SUM(E$100:E125))</f>
        <v>3279381.3931997437</v>
      </c>
      <c r="E126" s="510">
        <f>IF(+J97&lt;F125,J97,D126)</f>
        <v>334491.87878787878</v>
      </c>
      <c r="F126" s="511">
        <f t="shared" si="27"/>
        <v>2944889.5144118648</v>
      </c>
      <c r="G126" s="511">
        <f t="shared" si="28"/>
        <v>3112135.4538058043</v>
      </c>
      <c r="H126" s="524">
        <f t="shared" si="29"/>
        <v>670631.22012965777</v>
      </c>
      <c r="I126" s="573">
        <f t="shared" si="30"/>
        <v>670631.22012965777</v>
      </c>
      <c r="J126" s="505">
        <f t="shared" si="25"/>
        <v>0</v>
      </c>
      <c r="K126" s="505"/>
      <c r="L126" s="513"/>
      <c r="M126" s="505">
        <f t="shared" si="20"/>
        <v>0</v>
      </c>
      <c r="N126" s="513"/>
      <c r="O126" s="505">
        <f t="shared" si="22"/>
        <v>0</v>
      </c>
      <c r="P126" s="505">
        <f t="shared" si="23"/>
        <v>0</v>
      </c>
      <c r="Q126" s="244"/>
      <c r="R126" s="244"/>
      <c r="S126" s="244"/>
      <c r="T126" s="244"/>
      <c r="U126" s="244"/>
    </row>
    <row r="127" spans="2:21" ht="12.5">
      <c r="B127" s="145" t="str">
        <f t="shared" si="18"/>
        <v/>
      </c>
      <c r="C127" s="496">
        <f>IF(D94="","-",+C126+1)</f>
        <v>2038</v>
      </c>
      <c r="D127" s="350">
        <f>IF(F126+SUM(E$100:E126)=D$93,F126,D$93-SUM(E$100:E126))</f>
        <v>2944889.5144118648</v>
      </c>
      <c r="E127" s="510">
        <f>IF(+J97&lt;F126,J97,D127)</f>
        <v>334491.87878787878</v>
      </c>
      <c r="F127" s="511">
        <f t="shared" si="27"/>
        <v>2610397.6356239859</v>
      </c>
      <c r="G127" s="511">
        <f t="shared" si="28"/>
        <v>2777643.5750179254</v>
      </c>
      <c r="H127" s="524">
        <f t="shared" si="29"/>
        <v>634503.01122331503</v>
      </c>
      <c r="I127" s="573">
        <f t="shared" si="30"/>
        <v>634503.01122331503</v>
      </c>
      <c r="J127" s="505">
        <f t="shared" si="25"/>
        <v>0</v>
      </c>
      <c r="K127" s="505"/>
      <c r="L127" s="513"/>
      <c r="M127" s="505">
        <f t="shared" si="20"/>
        <v>0</v>
      </c>
      <c r="N127" s="513"/>
      <c r="O127" s="505">
        <f t="shared" si="22"/>
        <v>0</v>
      </c>
      <c r="P127" s="505">
        <f t="shared" si="23"/>
        <v>0</v>
      </c>
      <c r="Q127" s="244"/>
      <c r="R127" s="244"/>
      <c r="S127" s="244"/>
      <c r="T127" s="244"/>
      <c r="U127" s="244"/>
    </row>
    <row r="128" spans="2:21" ht="12.5">
      <c r="B128" s="145" t="str">
        <f t="shared" si="18"/>
        <v/>
      </c>
      <c r="C128" s="496">
        <f>IF(D94="","-",+C127+1)</f>
        <v>2039</v>
      </c>
      <c r="D128" s="350">
        <f>IF(F127+SUM(E$100:E127)=D$93,F127,D$93-SUM(E$100:E127))</f>
        <v>2610397.6356239859</v>
      </c>
      <c r="E128" s="510">
        <f>IF(+J97&lt;F127,J97,D128)</f>
        <v>334491.87878787878</v>
      </c>
      <c r="F128" s="511">
        <f t="shared" si="27"/>
        <v>2275905.756836107</v>
      </c>
      <c r="G128" s="511">
        <f t="shared" si="28"/>
        <v>2443151.6962300465</v>
      </c>
      <c r="H128" s="524">
        <f t="shared" si="29"/>
        <v>598374.80231697229</v>
      </c>
      <c r="I128" s="573">
        <f t="shared" si="30"/>
        <v>598374.80231697229</v>
      </c>
      <c r="J128" s="505">
        <f t="shared" si="25"/>
        <v>0</v>
      </c>
      <c r="K128" s="505"/>
      <c r="L128" s="513"/>
      <c r="M128" s="505">
        <f t="shared" si="20"/>
        <v>0</v>
      </c>
      <c r="N128" s="513"/>
      <c r="O128" s="505">
        <f t="shared" si="22"/>
        <v>0</v>
      </c>
      <c r="P128" s="505">
        <f t="shared" si="23"/>
        <v>0</v>
      </c>
      <c r="Q128" s="244"/>
      <c r="R128" s="244"/>
      <c r="S128" s="244"/>
      <c r="T128" s="244"/>
      <c r="U128" s="244"/>
    </row>
    <row r="129" spans="2:21" ht="12.5">
      <c r="B129" s="145" t="str">
        <f t="shared" si="18"/>
        <v/>
      </c>
      <c r="C129" s="496">
        <f>IF(D94="","-",+C128+1)</f>
        <v>2040</v>
      </c>
      <c r="D129" s="350">
        <f>IF(F128+SUM(E$100:E128)=D$93,F128,D$93-SUM(E$100:E128))</f>
        <v>2275905.756836107</v>
      </c>
      <c r="E129" s="510">
        <f>IF(+J97&lt;F128,J97,D129)</f>
        <v>334491.87878787878</v>
      </c>
      <c r="F129" s="511">
        <f t="shared" si="27"/>
        <v>1941413.8780482281</v>
      </c>
      <c r="G129" s="511">
        <f t="shared" si="28"/>
        <v>2108659.8174421676</v>
      </c>
      <c r="H129" s="524">
        <f t="shared" si="29"/>
        <v>562246.59341062955</v>
      </c>
      <c r="I129" s="573">
        <f t="shared" si="30"/>
        <v>562246.59341062955</v>
      </c>
      <c r="J129" s="505">
        <f t="shared" si="25"/>
        <v>0</v>
      </c>
      <c r="K129" s="505"/>
      <c r="L129" s="513"/>
      <c r="M129" s="505">
        <f t="shared" si="20"/>
        <v>0</v>
      </c>
      <c r="N129" s="513"/>
      <c r="O129" s="505">
        <f t="shared" si="22"/>
        <v>0</v>
      </c>
      <c r="P129" s="505">
        <f t="shared" si="23"/>
        <v>0</v>
      </c>
      <c r="Q129" s="244"/>
      <c r="R129" s="244"/>
      <c r="S129" s="244"/>
      <c r="T129" s="244"/>
      <c r="U129" s="244"/>
    </row>
    <row r="130" spans="2:21" ht="12.5">
      <c r="B130" s="145" t="str">
        <f t="shared" si="18"/>
        <v/>
      </c>
      <c r="C130" s="496">
        <f>IF(D94="","-",+C129+1)</f>
        <v>2041</v>
      </c>
      <c r="D130" s="350">
        <f>IF(F129+SUM(E$100:E129)=D$93,F129,D$93-SUM(E$100:E129))</f>
        <v>1941413.8780482281</v>
      </c>
      <c r="E130" s="510">
        <f>IF(+J97&lt;F129,J97,D130)</f>
        <v>334491.87878787878</v>
      </c>
      <c r="F130" s="511">
        <f t="shared" si="27"/>
        <v>1606921.9992603492</v>
      </c>
      <c r="G130" s="511">
        <f t="shared" si="28"/>
        <v>1774167.9386542886</v>
      </c>
      <c r="H130" s="524">
        <f t="shared" si="29"/>
        <v>526118.38450428692</v>
      </c>
      <c r="I130" s="573">
        <f t="shared" si="30"/>
        <v>526118.38450428692</v>
      </c>
      <c r="J130" s="505">
        <f t="shared" si="25"/>
        <v>0</v>
      </c>
      <c r="K130" s="505"/>
      <c r="L130" s="513"/>
      <c r="M130" s="505">
        <f t="shared" si="20"/>
        <v>0</v>
      </c>
      <c r="N130" s="513"/>
      <c r="O130" s="505">
        <f t="shared" si="22"/>
        <v>0</v>
      </c>
      <c r="P130" s="505">
        <f t="shared" si="23"/>
        <v>0</v>
      </c>
      <c r="Q130" s="244"/>
      <c r="R130" s="244"/>
      <c r="S130" s="244"/>
      <c r="T130" s="244"/>
      <c r="U130" s="244"/>
    </row>
    <row r="131" spans="2:21" ht="12.5">
      <c r="B131" s="145" t="str">
        <f t="shared" si="18"/>
        <v/>
      </c>
      <c r="C131" s="496">
        <f>IF(D94="","-",+C130+1)</f>
        <v>2042</v>
      </c>
      <c r="D131" s="350">
        <f>IF(F130+SUM(E$100:E130)=D$93,F130,D$93-SUM(E$100:E130))</f>
        <v>1606921.9992603492</v>
      </c>
      <c r="E131" s="510">
        <f>IF(+J97&lt;F130,J97,D131)</f>
        <v>334491.87878787878</v>
      </c>
      <c r="F131" s="511">
        <f t="shared" si="27"/>
        <v>1272430.1204724703</v>
      </c>
      <c r="G131" s="511">
        <f t="shared" si="28"/>
        <v>1439676.0598664097</v>
      </c>
      <c r="H131" s="524">
        <f t="shared" si="29"/>
        <v>489990.17559794418</v>
      </c>
      <c r="I131" s="573">
        <f t="shared" si="30"/>
        <v>489990.17559794418</v>
      </c>
      <c r="J131" s="505">
        <f t="shared" si="25"/>
        <v>0</v>
      </c>
      <c r="K131" s="505"/>
      <c r="L131" s="513"/>
      <c r="M131" s="505">
        <f t="shared" si="20"/>
        <v>0</v>
      </c>
      <c r="N131" s="513"/>
      <c r="O131" s="505">
        <f t="shared" si="22"/>
        <v>0</v>
      </c>
      <c r="P131" s="505">
        <f t="shared" si="23"/>
        <v>0</v>
      </c>
      <c r="Q131" s="244"/>
      <c r="R131" s="244"/>
      <c r="S131" s="244"/>
      <c r="T131" s="244"/>
      <c r="U131" s="244"/>
    </row>
    <row r="132" spans="2:21" ht="12.5">
      <c r="B132" s="145" t="str">
        <f t="shared" ref="B132:B155" si="31">IF(D132=F131,"","IU")</f>
        <v/>
      </c>
      <c r="C132" s="496">
        <f>IF(D94="","-",+C131+1)</f>
        <v>2043</v>
      </c>
      <c r="D132" s="350">
        <f>IF(F131+SUM(E$100:E131)=D$93,F131,D$93-SUM(E$100:E131))</f>
        <v>1272430.1204724703</v>
      </c>
      <c r="E132" s="510">
        <f>IF(+J97&lt;F131,J97,D132)</f>
        <v>334491.87878787878</v>
      </c>
      <c r="F132" s="511">
        <f t="shared" si="27"/>
        <v>937938.24168459151</v>
      </c>
      <c r="G132" s="511">
        <f t="shared" ref="G132:G155" si="32">+(F132+D132)/2</f>
        <v>1105184.1810785308</v>
      </c>
      <c r="H132" s="524">
        <f t="shared" ref="H132:H155" si="33">+J$95*G132+E132</f>
        <v>453861.96669160144</v>
      </c>
      <c r="I132" s="573">
        <f t="shared" ref="I132:I155" si="34">+J$96*G132+E132</f>
        <v>453861.96669160144</v>
      </c>
      <c r="J132" s="505">
        <f t="shared" ref="J132:J155" si="35">+I132-H132</f>
        <v>0</v>
      </c>
      <c r="K132" s="505"/>
      <c r="L132" s="513"/>
      <c r="M132" s="505">
        <f t="shared" ref="M132:M155" si="36">IF(L132&lt;&gt;0,+H132-L132,0)</f>
        <v>0</v>
      </c>
      <c r="N132" s="513"/>
      <c r="O132" s="505">
        <f t="shared" ref="O132:O155" si="37">IF(N132&lt;&gt;0,+I132-N132,0)</f>
        <v>0</v>
      </c>
      <c r="P132" s="505">
        <f t="shared" ref="P132:P155" si="38">+O132-M132</f>
        <v>0</v>
      </c>
      <c r="Q132" s="244"/>
      <c r="R132" s="244"/>
      <c r="S132" s="244"/>
      <c r="T132" s="244"/>
      <c r="U132" s="244"/>
    </row>
    <row r="133" spans="2:21" ht="12.5">
      <c r="B133" s="145" t="str">
        <f t="shared" si="31"/>
        <v/>
      </c>
      <c r="C133" s="496">
        <f>IF(D94="","-",+C132+1)</f>
        <v>2044</v>
      </c>
      <c r="D133" s="350">
        <f>IF(F132+SUM(E$100:E132)=D$93,F132,D$93-SUM(E$100:E132))</f>
        <v>937938.24168459151</v>
      </c>
      <c r="E133" s="510">
        <f>IF(+J97&lt;F132,J97,D133)</f>
        <v>334491.87878787878</v>
      </c>
      <c r="F133" s="511">
        <f t="shared" ref="F133:F155" si="39">+D133-E133</f>
        <v>603446.36289671273</v>
      </c>
      <c r="G133" s="511">
        <f t="shared" si="32"/>
        <v>770692.30229065218</v>
      </c>
      <c r="H133" s="524">
        <f t="shared" si="33"/>
        <v>417733.75778525881</v>
      </c>
      <c r="I133" s="573">
        <f t="shared" si="34"/>
        <v>417733.75778525881</v>
      </c>
      <c r="J133" s="505">
        <f t="shared" si="35"/>
        <v>0</v>
      </c>
      <c r="K133" s="505"/>
      <c r="L133" s="513"/>
      <c r="M133" s="505">
        <f t="shared" si="36"/>
        <v>0</v>
      </c>
      <c r="N133" s="513"/>
      <c r="O133" s="505">
        <f t="shared" si="37"/>
        <v>0</v>
      </c>
      <c r="P133" s="505">
        <f t="shared" si="38"/>
        <v>0</v>
      </c>
      <c r="Q133" s="244"/>
      <c r="R133" s="244"/>
      <c r="S133" s="244"/>
      <c r="T133" s="244"/>
      <c r="U133" s="244"/>
    </row>
    <row r="134" spans="2:21" ht="12.5">
      <c r="B134" s="145" t="str">
        <f t="shared" si="31"/>
        <v/>
      </c>
      <c r="C134" s="496">
        <f>IF(D94="","-",+C133+1)</f>
        <v>2045</v>
      </c>
      <c r="D134" s="350">
        <f>IF(F133+SUM(E$100:E133)=D$93,F133,D$93-SUM(E$100:E133))</f>
        <v>603446.36289671273</v>
      </c>
      <c r="E134" s="510">
        <f>IF(+J97&lt;F133,J97,D134)</f>
        <v>334491.87878787878</v>
      </c>
      <c r="F134" s="511">
        <f t="shared" si="39"/>
        <v>268954.48410883395</v>
      </c>
      <c r="G134" s="511">
        <f t="shared" si="32"/>
        <v>436200.42350277334</v>
      </c>
      <c r="H134" s="524">
        <f t="shared" si="33"/>
        <v>381605.54887891607</v>
      </c>
      <c r="I134" s="573">
        <f t="shared" si="34"/>
        <v>381605.54887891607</v>
      </c>
      <c r="J134" s="505">
        <f t="shared" si="35"/>
        <v>0</v>
      </c>
      <c r="K134" s="505"/>
      <c r="L134" s="513"/>
      <c r="M134" s="505">
        <f t="shared" si="36"/>
        <v>0</v>
      </c>
      <c r="N134" s="513"/>
      <c r="O134" s="505">
        <f t="shared" si="37"/>
        <v>0</v>
      </c>
      <c r="P134" s="505">
        <f t="shared" si="38"/>
        <v>0</v>
      </c>
      <c r="Q134" s="244"/>
      <c r="R134" s="244"/>
      <c r="S134" s="244"/>
      <c r="T134" s="244"/>
      <c r="U134" s="244"/>
    </row>
    <row r="135" spans="2:21" ht="12.5">
      <c r="B135" s="145" t="str">
        <f t="shared" si="31"/>
        <v/>
      </c>
      <c r="C135" s="496">
        <f>IF(D94="","-",+C134+1)</f>
        <v>2046</v>
      </c>
      <c r="D135" s="350">
        <f>IF(F134+SUM(E$100:E134)=D$93,F134,D$93-SUM(E$100:E134))</f>
        <v>268954.48410883395</v>
      </c>
      <c r="E135" s="510">
        <f>IF(+J97&lt;F134,J97,D135)</f>
        <v>268954.48410883395</v>
      </c>
      <c r="F135" s="511">
        <f t="shared" si="39"/>
        <v>0</v>
      </c>
      <c r="G135" s="511">
        <f t="shared" si="32"/>
        <v>134477.24205441697</v>
      </c>
      <c r="H135" s="524">
        <f t="shared" si="33"/>
        <v>283479.2669277669</v>
      </c>
      <c r="I135" s="573">
        <f t="shared" si="34"/>
        <v>283479.2669277669</v>
      </c>
      <c r="J135" s="505">
        <f t="shared" si="35"/>
        <v>0</v>
      </c>
      <c r="K135" s="505"/>
      <c r="L135" s="513"/>
      <c r="M135" s="505">
        <f t="shared" si="36"/>
        <v>0</v>
      </c>
      <c r="N135" s="513"/>
      <c r="O135" s="505">
        <f t="shared" si="37"/>
        <v>0</v>
      </c>
      <c r="P135" s="505">
        <f t="shared" si="38"/>
        <v>0</v>
      </c>
      <c r="Q135" s="244"/>
      <c r="R135" s="244"/>
      <c r="S135" s="244"/>
      <c r="T135" s="244"/>
      <c r="U135" s="244"/>
    </row>
    <row r="136" spans="2:21" ht="12.5">
      <c r="B136" s="145" t="str">
        <f t="shared" si="31"/>
        <v/>
      </c>
      <c r="C136" s="496">
        <f>IF(D94="","-",+C135+1)</f>
        <v>2047</v>
      </c>
      <c r="D136" s="350">
        <f>IF(F135+SUM(E$100:E135)=D$93,F135,D$93-SUM(E$100:E135))</f>
        <v>0</v>
      </c>
      <c r="E136" s="510">
        <f>IF(+J97&lt;F135,J97,D136)</f>
        <v>0</v>
      </c>
      <c r="F136" s="511">
        <f t="shared" si="39"/>
        <v>0</v>
      </c>
      <c r="G136" s="511">
        <f t="shared" si="32"/>
        <v>0</v>
      </c>
      <c r="H136" s="524">
        <f t="shared" si="33"/>
        <v>0</v>
      </c>
      <c r="I136" s="573">
        <f t="shared" si="34"/>
        <v>0</v>
      </c>
      <c r="J136" s="505">
        <f t="shared" si="35"/>
        <v>0</v>
      </c>
      <c r="K136" s="505"/>
      <c r="L136" s="513"/>
      <c r="M136" s="505">
        <f t="shared" si="36"/>
        <v>0</v>
      </c>
      <c r="N136" s="513"/>
      <c r="O136" s="505">
        <f t="shared" si="37"/>
        <v>0</v>
      </c>
      <c r="P136" s="505">
        <f t="shared" si="38"/>
        <v>0</v>
      </c>
      <c r="Q136" s="244"/>
      <c r="R136" s="244"/>
      <c r="S136" s="244"/>
      <c r="T136" s="244"/>
      <c r="U136" s="244"/>
    </row>
    <row r="137" spans="2:21" ht="12.5">
      <c r="B137" s="145" t="str">
        <f t="shared" si="31"/>
        <v/>
      </c>
      <c r="C137" s="496">
        <f>IF(D94="","-",+C136+1)</f>
        <v>2048</v>
      </c>
      <c r="D137" s="350">
        <f>IF(F136+SUM(E$100:E136)=D$93,F136,D$93-SUM(E$100:E136))</f>
        <v>0</v>
      </c>
      <c r="E137" s="510">
        <f>IF(+J97&lt;F136,J97,D137)</f>
        <v>0</v>
      </c>
      <c r="F137" s="511">
        <f t="shared" si="39"/>
        <v>0</v>
      </c>
      <c r="G137" s="511">
        <f t="shared" si="32"/>
        <v>0</v>
      </c>
      <c r="H137" s="524">
        <f t="shared" si="33"/>
        <v>0</v>
      </c>
      <c r="I137" s="573">
        <f t="shared" si="34"/>
        <v>0</v>
      </c>
      <c r="J137" s="505">
        <f t="shared" si="35"/>
        <v>0</v>
      </c>
      <c r="K137" s="505"/>
      <c r="L137" s="513"/>
      <c r="M137" s="505">
        <f t="shared" si="36"/>
        <v>0</v>
      </c>
      <c r="N137" s="513"/>
      <c r="O137" s="505">
        <f t="shared" si="37"/>
        <v>0</v>
      </c>
      <c r="P137" s="505">
        <f t="shared" si="38"/>
        <v>0</v>
      </c>
      <c r="Q137" s="244"/>
      <c r="R137" s="244"/>
      <c r="S137" s="244"/>
      <c r="T137" s="244"/>
      <c r="U137" s="244"/>
    </row>
    <row r="138" spans="2:21" ht="12.5">
      <c r="B138" s="145" t="str">
        <f t="shared" si="31"/>
        <v/>
      </c>
      <c r="C138" s="496">
        <f>IF(D94="","-",+C137+1)</f>
        <v>2049</v>
      </c>
      <c r="D138" s="350">
        <f>IF(F137+SUM(E$100:E137)=D$93,F137,D$93-SUM(E$100:E137))</f>
        <v>0</v>
      </c>
      <c r="E138" s="510">
        <f>IF(+J97&lt;F137,J97,D138)</f>
        <v>0</v>
      </c>
      <c r="F138" s="511">
        <f t="shared" si="39"/>
        <v>0</v>
      </c>
      <c r="G138" s="511">
        <f t="shared" si="32"/>
        <v>0</v>
      </c>
      <c r="H138" s="524">
        <f t="shared" si="33"/>
        <v>0</v>
      </c>
      <c r="I138" s="573">
        <f t="shared" si="34"/>
        <v>0</v>
      </c>
      <c r="J138" s="505">
        <f t="shared" si="35"/>
        <v>0</v>
      </c>
      <c r="K138" s="505"/>
      <c r="L138" s="513"/>
      <c r="M138" s="505">
        <f t="shared" si="36"/>
        <v>0</v>
      </c>
      <c r="N138" s="513"/>
      <c r="O138" s="505">
        <f t="shared" si="37"/>
        <v>0</v>
      </c>
      <c r="P138" s="505">
        <f t="shared" si="38"/>
        <v>0</v>
      </c>
      <c r="Q138" s="244"/>
      <c r="R138" s="244"/>
      <c r="S138" s="244"/>
      <c r="T138" s="244"/>
      <c r="U138" s="244"/>
    </row>
    <row r="139" spans="2:21" ht="12.5">
      <c r="B139" s="145" t="str">
        <f t="shared" si="31"/>
        <v/>
      </c>
      <c r="C139" s="496">
        <f>IF(D94="","-",+C138+1)</f>
        <v>2050</v>
      </c>
      <c r="D139" s="350">
        <f>IF(F138+SUM(E$100:E138)=D$93,F138,D$93-SUM(E$100:E138))</f>
        <v>0</v>
      </c>
      <c r="E139" s="510">
        <f>IF(+J97&lt;F138,J97,D139)</f>
        <v>0</v>
      </c>
      <c r="F139" s="511">
        <f t="shared" si="39"/>
        <v>0</v>
      </c>
      <c r="G139" s="511">
        <f t="shared" si="32"/>
        <v>0</v>
      </c>
      <c r="H139" s="524">
        <f t="shared" si="33"/>
        <v>0</v>
      </c>
      <c r="I139" s="573">
        <f t="shared" si="34"/>
        <v>0</v>
      </c>
      <c r="J139" s="505">
        <f t="shared" si="35"/>
        <v>0</v>
      </c>
      <c r="K139" s="505"/>
      <c r="L139" s="513"/>
      <c r="M139" s="505">
        <f t="shared" si="36"/>
        <v>0</v>
      </c>
      <c r="N139" s="513"/>
      <c r="O139" s="505">
        <f t="shared" si="37"/>
        <v>0</v>
      </c>
      <c r="P139" s="505">
        <f t="shared" si="38"/>
        <v>0</v>
      </c>
      <c r="Q139" s="244"/>
      <c r="R139" s="244"/>
      <c r="S139" s="244"/>
      <c r="T139" s="244"/>
      <c r="U139" s="244"/>
    </row>
    <row r="140" spans="2:21" ht="12.5">
      <c r="B140" s="145" t="str">
        <f t="shared" si="31"/>
        <v/>
      </c>
      <c r="C140" s="496">
        <f>IF(D94="","-",+C139+1)</f>
        <v>2051</v>
      </c>
      <c r="D140" s="350">
        <f>IF(F139+SUM(E$100:E139)=D$93,F139,D$93-SUM(E$100:E139))</f>
        <v>0</v>
      </c>
      <c r="E140" s="510">
        <f>IF(+J97&lt;F139,J97,D140)</f>
        <v>0</v>
      </c>
      <c r="F140" s="511">
        <f t="shared" si="39"/>
        <v>0</v>
      </c>
      <c r="G140" s="511">
        <f t="shared" si="32"/>
        <v>0</v>
      </c>
      <c r="H140" s="524">
        <f t="shared" si="33"/>
        <v>0</v>
      </c>
      <c r="I140" s="573">
        <f t="shared" si="34"/>
        <v>0</v>
      </c>
      <c r="J140" s="505">
        <f t="shared" si="35"/>
        <v>0</v>
      </c>
      <c r="K140" s="505"/>
      <c r="L140" s="513"/>
      <c r="M140" s="505">
        <f t="shared" si="36"/>
        <v>0</v>
      </c>
      <c r="N140" s="513"/>
      <c r="O140" s="505">
        <f t="shared" si="37"/>
        <v>0</v>
      </c>
      <c r="P140" s="505">
        <f t="shared" si="38"/>
        <v>0</v>
      </c>
      <c r="Q140" s="244"/>
      <c r="R140" s="244"/>
      <c r="S140" s="244"/>
      <c r="T140" s="244"/>
      <c r="U140" s="244"/>
    </row>
    <row r="141" spans="2:21" ht="12.5">
      <c r="B141" s="145" t="str">
        <f t="shared" si="31"/>
        <v/>
      </c>
      <c r="C141" s="496">
        <f>IF(D94="","-",+C140+1)</f>
        <v>2052</v>
      </c>
      <c r="D141" s="350">
        <f>IF(F140+SUM(E$100:E140)=D$93,F140,D$93-SUM(E$100:E140))</f>
        <v>0</v>
      </c>
      <c r="E141" s="510">
        <f>IF(+J97&lt;F140,J97,D141)</f>
        <v>0</v>
      </c>
      <c r="F141" s="511">
        <f t="shared" si="39"/>
        <v>0</v>
      </c>
      <c r="G141" s="511">
        <f t="shared" si="32"/>
        <v>0</v>
      </c>
      <c r="H141" s="524">
        <f t="shared" si="33"/>
        <v>0</v>
      </c>
      <c r="I141" s="573">
        <f t="shared" si="34"/>
        <v>0</v>
      </c>
      <c r="J141" s="505">
        <f t="shared" si="35"/>
        <v>0</v>
      </c>
      <c r="K141" s="505"/>
      <c r="L141" s="513"/>
      <c r="M141" s="505">
        <f t="shared" si="36"/>
        <v>0</v>
      </c>
      <c r="N141" s="513"/>
      <c r="O141" s="505">
        <f t="shared" si="37"/>
        <v>0</v>
      </c>
      <c r="P141" s="505">
        <f t="shared" si="38"/>
        <v>0</v>
      </c>
      <c r="Q141" s="244"/>
      <c r="R141" s="244"/>
      <c r="S141" s="244"/>
      <c r="T141" s="244"/>
      <c r="U141" s="244"/>
    </row>
    <row r="142" spans="2:21" ht="12.5">
      <c r="B142" s="145" t="str">
        <f t="shared" si="31"/>
        <v/>
      </c>
      <c r="C142" s="496">
        <f>IF(D94="","-",+C141+1)</f>
        <v>2053</v>
      </c>
      <c r="D142" s="350">
        <f>IF(F141+SUM(E$100:E141)=D$93,F141,D$93-SUM(E$100:E141))</f>
        <v>0</v>
      </c>
      <c r="E142" s="510">
        <f>IF(+J97&lt;F141,J97,D142)</f>
        <v>0</v>
      </c>
      <c r="F142" s="511">
        <f t="shared" si="39"/>
        <v>0</v>
      </c>
      <c r="G142" s="511">
        <f t="shared" si="32"/>
        <v>0</v>
      </c>
      <c r="H142" s="524">
        <f t="shared" si="33"/>
        <v>0</v>
      </c>
      <c r="I142" s="573">
        <f t="shared" si="34"/>
        <v>0</v>
      </c>
      <c r="J142" s="505">
        <f t="shared" si="35"/>
        <v>0</v>
      </c>
      <c r="K142" s="505"/>
      <c r="L142" s="513"/>
      <c r="M142" s="505">
        <f t="shared" si="36"/>
        <v>0</v>
      </c>
      <c r="N142" s="513"/>
      <c r="O142" s="505">
        <f t="shared" si="37"/>
        <v>0</v>
      </c>
      <c r="P142" s="505">
        <f t="shared" si="38"/>
        <v>0</v>
      </c>
      <c r="Q142" s="244"/>
      <c r="R142" s="244"/>
      <c r="S142" s="244"/>
      <c r="T142" s="244"/>
      <c r="U142" s="244"/>
    </row>
    <row r="143" spans="2:21" ht="12.5">
      <c r="B143" s="145" t="str">
        <f t="shared" si="31"/>
        <v/>
      </c>
      <c r="C143" s="496">
        <f>IF(D94="","-",+C142+1)</f>
        <v>2054</v>
      </c>
      <c r="D143" s="350">
        <f>IF(F142+SUM(E$100:E142)=D$93,F142,D$93-SUM(E$100:E142))</f>
        <v>0</v>
      </c>
      <c r="E143" s="510">
        <f>IF(+J97&lt;F142,J97,D143)</f>
        <v>0</v>
      </c>
      <c r="F143" s="511">
        <f t="shared" si="39"/>
        <v>0</v>
      </c>
      <c r="G143" s="511">
        <f t="shared" si="32"/>
        <v>0</v>
      </c>
      <c r="H143" s="524">
        <f t="shared" si="33"/>
        <v>0</v>
      </c>
      <c r="I143" s="573">
        <f t="shared" si="34"/>
        <v>0</v>
      </c>
      <c r="J143" s="505">
        <f t="shared" si="35"/>
        <v>0</v>
      </c>
      <c r="K143" s="505"/>
      <c r="L143" s="513"/>
      <c r="M143" s="505">
        <f t="shared" si="36"/>
        <v>0</v>
      </c>
      <c r="N143" s="513"/>
      <c r="O143" s="505">
        <f t="shared" si="37"/>
        <v>0</v>
      </c>
      <c r="P143" s="505">
        <f t="shared" si="38"/>
        <v>0</v>
      </c>
      <c r="Q143" s="244"/>
      <c r="R143" s="244"/>
      <c r="S143" s="244"/>
      <c r="T143" s="244"/>
      <c r="U143" s="244"/>
    </row>
    <row r="144" spans="2:21" ht="12.5">
      <c r="B144" s="145" t="str">
        <f t="shared" si="31"/>
        <v/>
      </c>
      <c r="C144" s="496">
        <f>IF(D94="","-",+C143+1)</f>
        <v>2055</v>
      </c>
      <c r="D144" s="350">
        <f>IF(F143+SUM(E$100:E143)=D$93,F143,D$93-SUM(E$100:E143))</f>
        <v>0</v>
      </c>
      <c r="E144" s="510">
        <f>IF(+J97&lt;F143,J97,D144)</f>
        <v>0</v>
      </c>
      <c r="F144" s="511">
        <f t="shared" si="39"/>
        <v>0</v>
      </c>
      <c r="G144" s="511">
        <f t="shared" si="32"/>
        <v>0</v>
      </c>
      <c r="H144" s="524">
        <f t="shared" si="33"/>
        <v>0</v>
      </c>
      <c r="I144" s="573">
        <f t="shared" si="34"/>
        <v>0</v>
      </c>
      <c r="J144" s="505">
        <f t="shared" si="35"/>
        <v>0</v>
      </c>
      <c r="K144" s="505"/>
      <c r="L144" s="513"/>
      <c r="M144" s="505">
        <f t="shared" si="36"/>
        <v>0</v>
      </c>
      <c r="N144" s="513"/>
      <c r="O144" s="505">
        <f t="shared" si="37"/>
        <v>0</v>
      </c>
      <c r="P144" s="505">
        <f t="shared" si="38"/>
        <v>0</v>
      </c>
      <c r="Q144" s="244"/>
      <c r="R144" s="244"/>
      <c r="S144" s="244"/>
      <c r="T144" s="244"/>
      <c r="U144" s="244"/>
    </row>
    <row r="145" spans="2:21" ht="12.5">
      <c r="B145" s="145" t="str">
        <f t="shared" si="31"/>
        <v/>
      </c>
      <c r="C145" s="496">
        <f>IF(D94="","-",+C144+1)</f>
        <v>2056</v>
      </c>
      <c r="D145" s="350">
        <f>IF(F144+SUM(E$100:E144)=D$93,F144,D$93-SUM(E$100:E144))</f>
        <v>0</v>
      </c>
      <c r="E145" s="510">
        <f>IF(+J97&lt;F144,J97,D145)</f>
        <v>0</v>
      </c>
      <c r="F145" s="511">
        <f t="shared" si="39"/>
        <v>0</v>
      </c>
      <c r="G145" s="511">
        <f t="shared" si="32"/>
        <v>0</v>
      </c>
      <c r="H145" s="524">
        <f t="shared" si="33"/>
        <v>0</v>
      </c>
      <c r="I145" s="573">
        <f t="shared" si="34"/>
        <v>0</v>
      </c>
      <c r="J145" s="505">
        <f t="shared" si="35"/>
        <v>0</v>
      </c>
      <c r="K145" s="505"/>
      <c r="L145" s="513"/>
      <c r="M145" s="505">
        <f t="shared" si="36"/>
        <v>0</v>
      </c>
      <c r="N145" s="513"/>
      <c r="O145" s="505">
        <f t="shared" si="37"/>
        <v>0</v>
      </c>
      <c r="P145" s="505">
        <f t="shared" si="38"/>
        <v>0</v>
      </c>
      <c r="Q145" s="244"/>
      <c r="R145" s="244"/>
      <c r="S145" s="244"/>
      <c r="T145" s="244"/>
      <c r="U145" s="244"/>
    </row>
    <row r="146" spans="2:21" ht="12.5">
      <c r="B146" s="145" t="str">
        <f t="shared" si="31"/>
        <v/>
      </c>
      <c r="C146" s="496">
        <f>IF(D94="","-",+C145+1)</f>
        <v>2057</v>
      </c>
      <c r="D146" s="350">
        <f>IF(F145+SUM(E$100:E145)=D$93,F145,D$93-SUM(E$100:E145))</f>
        <v>0</v>
      </c>
      <c r="E146" s="510">
        <f>IF(+J97&lt;F145,J97,D146)</f>
        <v>0</v>
      </c>
      <c r="F146" s="511">
        <f t="shared" si="39"/>
        <v>0</v>
      </c>
      <c r="G146" s="511">
        <f t="shared" si="32"/>
        <v>0</v>
      </c>
      <c r="H146" s="524">
        <f t="shared" si="33"/>
        <v>0</v>
      </c>
      <c r="I146" s="573">
        <f t="shared" si="34"/>
        <v>0</v>
      </c>
      <c r="J146" s="505">
        <f t="shared" si="35"/>
        <v>0</v>
      </c>
      <c r="K146" s="505"/>
      <c r="L146" s="513"/>
      <c r="M146" s="505">
        <f t="shared" si="36"/>
        <v>0</v>
      </c>
      <c r="N146" s="513"/>
      <c r="O146" s="505">
        <f t="shared" si="37"/>
        <v>0</v>
      </c>
      <c r="P146" s="505">
        <f t="shared" si="38"/>
        <v>0</v>
      </c>
      <c r="Q146" s="244"/>
      <c r="R146" s="244"/>
      <c r="S146" s="244"/>
      <c r="T146" s="244"/>
      <c r="U146" s="244"/>
    </row>
    <row r="147" spans="2:21" ht="12.5">
      <c r="B147" s="145" t="str">
        <f t="shared" si="31"/>
        <v/>
      </c>
      <c r="C147" s="496">
        <f>IF(D94="","-",+C146+1)</f>
        <v>2058</v>
      </c>
      <c r="D147" s="350">
        <f>IF(F146+SUM(E$100:E146)=D$93,F146,D$93-SUM(E$100:E146))</f>
        <v>0</v>
      </c>
      <c r="E147" s="510">
        <f>IF(+J97&lt;F146,J97,D147)</f>
        <v>0</v>
      </c>
      <c r="F147" s="511">
        <f t="shared" si="39"/>
        <v>0</v>
      </c>
      <c r="G147" s="511">
        <f t="shared" si="32"/>
        <v>0</v>
      </c>
      <c r="H147" s="524">
        <f t="shared" si="33"/>
        <v>0</v>
      </c>
      <c r="I147" s="573">
        <f t="shared" si="34"/>
        <v>0</v>
      </c>
      <c r="J147" s="505">
        <f t="shared" si="35"/>
        <v>0</v>
      </c>
      <c r="K147" s="505"/>
      <c r="L147" s="513"/>
      <c r="M147" s="505">
        <f t="shared" si="36"/>
        <v>0</v>
      </c>
      <c r="N147" s="513"/>
      <c r="O147" s="505">
        <f t="shared" si="37"/>
        <v>0</v>
      </c>
      <c r="P147" s="505">
        <f t="shared" si="38"/>
        <v>0</v>
      </c>
      <c r="Q147" s="244"/>
      <c r="R147" s="244"/>
      <c r="S147" s="244"/>
      <c r="T147" s="244"/>
      <c r="U147" s="244"/>
    </row>
    <row r="148" spans="2:21" ht="12.5">
      <c r="B148" s="145" t="str">
        <f t="shared" si="31"/>
        <v/>
      </c>
      <c r="C148" s="496">
        <f>IF(D94="","-",+C147+1)</f>
        <v>2059</v>
      </c>
      <c r="D148" s="350">
        <f>IF(F147+SUM(E$100:E147)=D$93,F147,D$93-SUM(E$100:E147))</f>
        <v>0</v>
      </c>
      <c r="E148" s="510">
        <f>IF(+J97&lt;F147,J97,D148)</f>
        <v>0</v>
      </c>
      <c r="F148" s="511">
        <f t="shared" si="39"/>
        <v>0</v>
      </c>
      <c r="G148" s="511">
        <f t="shared" si="32"/>
        <v>0</v>
      </c>
      <c r="H148" s="524">
        <f t="shared" si="33"/>
        <v>0</v>
      </c>
      <c r="I148" s="573">
        <f t="shared" si="34"/>
        <v>0</v>
      </c>
      <c r="J148" s="505">
        <f t="shared" si="35"/>
        <v>0</v>
      </c>
      <c r="K148" s="505"/>
      <c r="L148" s="513"/>
      <c r="M148" s="505">
        <f t="shared" si="36"/>
        <v>0</v>
      </c>
      <c r="N148" s="513"/>
      <c r="O148" s="505">
        <f t="shared" si="37"/>
        <v>0</v>
      </c>
      <c r="P148" s="505">
        <f t="shared" si="38"/>
        <v>0</v>
      </c>
      <c r="Q148" s="244"/>
      <c r="R148" s="244"/>
      <c r="S148" s="244"/>
      <c r="T148" s="244"/>
      <c r="U148" s="244"/>
    </row>
    <row r="149" spans="2:21" ht="12.5">
      <c r="B149" s="145" t="str">
        <f t="shared" si="31"/>
        <v/>
      </c>
      <c r="C149" s="496">
        <f>IF(D94="","-",+C148+1)</f>
        <v>2060</v>
      </c>
      <c r="D149" s="350">
        <f>IF(F148+SUM(E$100:E148)=D$93,F148,D$93-SUM(E$100:E148))</f>
        <v>0</v>
      </c>
      <c r="E149" s="510">
        <f>IF(+J97&lt;F148,J97,D149)</f>
        <v>0</v>
      </c>
      <c r="F149" s="511">
        <f t="shared" si="39"/>
        <v>0</v>
      </c>
      <c r="G149" s="511">
        <f t="shared" si="32"/>
        <v>0</v>
      </c>
      <c r="H149" s="524">
        <f t="shared" si="33"/>
        <v>0</v>
      </c>
      <c r="I149" s="573">
        <f t="shared" si="34"/>
        <v>0</v>
      </c>
      <c r="J149" s="505">
        <f t="shared" si="35"/>
        <v>0</v>
      </c>
      <c r="K149" s="505"/>
      <c r="L149" s="513"/>
      <c r="M149" s="505">
        <f t="shared" si="36"/>
        <v>0</v>
      </c>
      <c r="N149" s="513"/>
      <c r="O149" s="505">
        <f t="shared" si="37"/>
        <v>0</v>
      </c>
      <c r="P149" s="505">
        <f t="shared" si="38"/>
        <v>0</v>
      </c>
      <c r="Q149" s="244"/>
      <c r="R149" s="244"/>
      <c r="S149" s="244"/>
      <c r="T149" s="244"/>
      <c r="U149" s="244"/>
    </row>
    <row r="150" spans="2:21" ht="12.5">
      <c r="B150" s="145" t="str">
        <f t="shared" si="31"/>
        <v/>
      </c>
      <c r="C150" s="496">
        <f>IF(D94="","-",+C149+1)</f>
        <v>2061</v>
      </c>
      <c r="D150" s="350">
        <f>IF(F149+SUM(E$100:E149)=D$93,F149,D$93-SUM(E$100:E149))</f>
        <v>0</v>
      </c>
      <c r="E150" s="510">
        <f>IF(+J97&lt;F149,J97,D150)</f>
        <v>0</v>
      </c>
      <c r="F150" s="511">
        <f t="shared" si="39"/>
        <v>0</v>
      </c>
      <c r="G150" s="511">
        <f t="shared" si="32"/>
        <v>0</v>
      </c>
      <c r="H150" s="524">
        <f t="shared" si="33"/>
        <v>0</v>
      </c>
      <c r="I150" s="573">
        <f t="shared" si="34"/>
        <v>0</v>
      </c>
      <c r="J150" s="505">
        <f t="shared" si="35"/>
        <v>0</v>
      </c>
      <c r="K150" s="505"/>
      <c r="L150" s="513"/>
      <c r="M150" s="505">
        <f t="shared" si="36"/>
        <v>0</v>
      </c>
      <c r="N150" s="513"/>
      <c r="O150" s="505">
        <f t="shared" si="37"/>
        <v>0</v>
      </c>
      <c r="P150" s="505">
        <f t="shared" si="38"/>
        <v>0</v>
      </c>
      <c r="Q150" s="244"/>
      <c r="R150" s="244"/>
      <c r="S150" s="244"/>
      <c r="T150" s="244"/>
      <c r="U150" s="244"/>
    </row>
    <row r="151" spans="2:21" ht="12.5">
      <c r="B151" s="145" t="str">
        <f t="shared" si="31"/>
        <v/>
      </c>
      <c r="C151" s="496">
        <f>IF(D94="","-",+C150+1)</f>
        <v>2062</v>
      </c>
      <c r="D151" s="350">
        <f>IF(F150+SUM(E$100:E150)=D$93,F150,D$93-SUM(E$100:E150))</f>
        <v>0</v>
      </c>
      <c r="E151" s="510">
        <f>IF(+J97&lt;F150,J97,D151)</f>
        <v>0</v>
      </c>
      <c r="F151" s="511">
        <f t="shared" si="39"/>
        <v>0</v>
      </c>
      <c r="G151" s="511">
        <f t="shared" si="32"/>
        <v>0</v>
      </c>
      <c r="H151" s="524">
        <f t="shared" si="33"/>
        <v>0</v>
      </c>
      <c r="I151" s="573">
        <f t="shared" si="34"/>
        <v>0</v>
      </c>
      <c r="J151" s="505">
        <f t="shared" si="35"/>
        <v>0</v>
      </c>
      <c r="K151" s="505"/>
      <c r="L151" s="513"/>
      <c r="M151" s="505">
        <f t="shared" si="36"/>
        <v>0</v>
      </c>
      <c r="N151" s="513"/>
      <c r="O151" s="505">
        <f t="shared" si="37"/>
        <v>0</v>
      </c>
      <c r="P151" s="505">
        <f t="shared" si="38"/>
        <v>0</v>
      </c>
      <c r="Q151" s="244"/>
      <c r="R151" s="244"/>
      <c r="S151" s="244"/>
      <c r="T151" s="244"/>
      <c r="U151" s="244"/>
    </row>
    <row r="152" spans="2:21" ht="12.5">
      <c r="B152" s="145" t="str">
        <f t="shared" si="31"/>
        <v/>
      </c>
      <c r="C152" s="496">
        <f>IF(D94="","-",+C151+1)</f>
        <v>2063</v>
      </c>
      <c r="D152" s="350">
        <f>IF(F151+SUM(E$100:E151)=D$93,F151,D$93-SUM(E$100:E151))</f>
        <v>0</v>
      </c>
      <c r="E152" s="510">
        <f>IF(+J97&lt;F151,J97,D152)</f>
        <v>0</v>
      </c>
      <c r="F152" s="511">
        <f t="shared" si="39"/>
        <v>0</v>
      </c>
      <c r="G152" s="511">
        <f t="shared" si="32"/>
        <v>0</v>
      </c>
      <c r="H152" s="524">
        <f t="shared" si="33"/>
        <v>0</v>
      </c>
      <c r="I152" s="573">
        <f t="shared" si="34"/>
        <v>0</v>
      </c>
      <c r="J152" s="505">
        <f t="shared" si="35"/>
        <v>0</v>
      </c>
      <c r="K152" s="505"/>
      <c r="L152" s="513"/>
      <c r="M152" s="505">
        <f t="shared" si="36"/>
        <v>0</v>
      </c>
      <c r="N152" s="513"/>
      <c r="O152" s="505">
        <f t="shared" si="37"/>
        <v>0</v>
      </c>
      <c r="P152" s="505">
        <f t="shared" si="38"/>
        <v>0</v>
      </c>
      <c r="Q152" s="244"/>
      <c r="R152" s="244"/>
      <c r="S152" s="244"/>
      <c r="T152" s="244"/>
      <c r="U152" s="244"/>
    </row>
    <row r="153" spans="2:21" ht="12.5">
      <c r="B153" s="145" t="str">
        <f t="shared" si="31"/>
        <v/>
      </c>
      <c r="C153" s="496">
        <f>IF(D94="","-",+C152+1)</f>
        <v>2064</v>
      </c>
      <c r="D153" s="350">
        <f>IF(F152+SUM(E$100:E152)=D$93,F152,D$93-SUM(E$100:E152))</f>
        <v>0</v>
      </c>
      <c r="E153" s="510">
        <f>IF(+J97&lt;F152,J97,D153)</f>
        <v>0</v>
      </c>
      <c r="F153" s="511">
        <f t="shared" si="39"/>
        <v>0</v>
      </c>
      <c r="G153" s="511">
        <f t="shared" si="32"/>
        <v>0</v>
      </c>
      <c r="H153" s="524">
        <f t="shared" si="33"/>
        <v>0</v>
      </c>
      <c r="I153" s="573">
        <f t="shared" si="34"/>
        <v>0</v>
      </c>
      <c r="J153" s="505">
        <f t="shared" si="35"/>
        <v>0</v>
      </c>
      <c r="K153" s="505"/>
      <c r="L153" s="513"/>
      <c r="M153" s="505">
        <f t="shared" si="36"/>
        <v>0</v>
      </c>
      <c r="N153" s="513"/>
      <c r="O153" s="505">
        <f t="shared" si="37"/>
        <v>0</v>
      </c>
      <c r="P153" s="505">
        <f t="shared" si="38"/>
        <v>0</v>
      </c>
      <c r="Q153" s="244"/>
      <c r="R153" s="244"/>
      <c r="S153" s="244"/>
      <c r="T153" s="244"/>
      <c r="U153" s="244"/>
    </row>
    <row r="154" spans="2:21" ht="12.5">
      <c r="B154" s="145" t="str">
        <f t="shared" si="31"/>
        <v/>
      </c>
      <c r="C154" s="496">
        <f>IF(D94="","-",+C153+1)</f>
        <v>2065</v>
      </c>
      <c r="D154" s="350">
        <f>IF(F153+SUM(E$100:E153)=D$93,F153,D$93-SUM(E$100:E153))</f>
        <v>0</v>
      </c>
      <c r="E154" s="510">
        <f>IF(+J97&lt;F153,J97,D154)</f>
        <v>0</v>
      </c>
      <c r="F154" s="511">
        <f t="shared" si="39"/>
        <v>0</v>
      </c>
      <c r="G154" s="511">
        <f t="shared" si="32"/>
        <v>0</v>
      </c>
      <c r="H154" s="524">
        <f t="shared" si="33"/>
        <v>0</v>
      </c>
      <c r="I154" s="573">
        <f t="shared" si="34"/>
        <v>0</v>
      </c>
      <c r="J154" s="505">
        <f t="shared" si="35"/>
        <v>0</v>
      </c>
      <c r="K154" s="505"/>
      <c r="L154" s="513"/>
      <c r="M154" s="505">
        <f t="shared" si="36"/>
        <v>0</v>
      </c>
      <c r="N154" s="513"/>
      <c r="O154" s="505">
        <f t="shared" si="37"/>
        <v>0</v>
      </c>
      <c r="P154" s="505">
        <f t="shared" si="38"/>
        <v>0</v>
      </c>
      <c r="Q154" s="244"/>
      <c r="R154" s="244"/>
      <c r="S154" s="244"/>
      <c r="T154" s="244"/>
      <c r="U154" s="244"/>
    </row>
    <row r="155" spans="2:21" ht="13" thickBot="1">
      <c r="B155" s="145" t="str">
        <f t="shared" si="31"/>
        <v/>
      </c>
      <c r="C155" s="525">
        <f>IF(D94="","-",+C154+1)</f>
        <v>2066</v>
      </c>
      <c r="D155" s="528">
        <f>IF(F154+SUM(E$100:E154)=D$93,F154,D$93-SUM(E$100:E154))</f>
        <v>0</v>
      </c>
      <c r="E155" s="527">
        <f>IF(+J97&lt;F154,J97,D155)</f>
        <v>0</v>
      </c>
      <c r="F155" s="528">
        <f t="shared" si="39"/>
        <v>0</v>
      </c>
      <c r="G155" s="528">
        <f t="shared" si="32"/>
        <v>0</v>
      </c>
      <c r="H155" s="529">
        <f t="shared" si="33"/>
        <v>0</v>
      </c>
      <c r="I155" s="574">
        <f t="shared" si="34"/>
        <v>0</v>
      </c>
      <c r="J155" s="532">
        <f t="shared" si="35"/>
        <v>0</v>
      </c>
      <c r="K155" s="505"/>
      <c r="L155" s="531"/>
      <c r="M155" s="532">
        <f t="shared" si="36"/>
        <v>0</v>
      </c>
      <c r="N155" s="531"/>
      <c r="O155" s="532">
        <f t="shared" si="37"/>
        <v>0</v>
      </c>
      <c r="P155" s="532">
        <f t="shared" si="38"/>
        <v>0</v>
      </c>
      <c r="Q155" s="244"/>
      <c r="R155" s="244"/>
      <c r="S155" s="244"/>
      <c r="T155" s="244"/>
      <c r="U155" s="244"/>
    </row>
    <row r="156" spans="2:21" ht="12.5">
      <c r="C156" s="350" t="s">
        <v>75</v>
      </c>
      <c r="D156" s="295"/>
      <c r="E156" s="295">
        <f>SUM(E100:E155)</f>
        <v>11038231.999999998</v>
      </c>
      <c r="F156" s="295"/>
      <c r="G156" s="295"/>
      <c r="H156" s="295">
        <f>SUM(H100:H155)</f>
        <v>33457259.15307698</v>
      </c>
      <c r="I156" s="295">
        <f>SUM(I100:I155)</f>
        <v>33457259.15307698</v>
      </c>
      <c r="J156" s="295">
        <f>SUM(J100:J155)</f>
        <v>0</v>
      </c>
      <c r="K156" s="295"/>
      <c r="L156" s="295"/>
      <c r="M156" s="295"/>
      <c r="N156" s="295"/>
      <c r="O156" s="295"/>
      <c r="P156" s="244"/>
      <c r="Q156" s="244"/>
      <c r="R156" s="244"/>
      <c r="S156" s="244"/>
      <c r="T156" s="244"/>
      <c r="U156" s="244"/>
    </row>
    <row r="157" spans="2:21" ht="12.5">
      <c r="D157" s="293"/>
      <c r="E157" s="244"/>
      <c r="F157" s="244"/>
      <c r="G157" s="244"/>
      <c r="H157" s="244"/>
      <c r="I157" s="326"/>
      <c r="J157" s="326"/>
      <c r="K157" s="295"/>
      <c r="L157" s="326"/>
      <c r="M157" s="326"/>
      <c r="N157" s="326"/>
      <c r="O157" s="326"/>
      <c r="P157" s="244"/>
      <c r="Q157" s="244"/>
      <c r="R157" s="244"/>
      <c r="S157" s="244"/>
      <c r="T157" s="244"/>
      <c r="U157" s="244"/>
    </row>
    <row r="158" spans="2:21" ht="12.5">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ht="12.5">
      <c r="D159" s="293"/>
      <c r="E159" s="244"/>
      <c r="F159" s="244"/>
      <c r="G159" s="244"/>
      <c r="H159" s="244"/>
      <c r="I159" s="326"/>
      <c r="J159" s="326"/>
      <c r="K159" s="295"/>
      <c r="L159" s="326"/>
      <c r="M159" s="326"/>
      <c r="N159" s="326"/>
      <c r="O159" s="326"/>
      <c r="P159" s="244"/>
      <c r="Q159" s="244"/>
      <c r="R159" s="244"/>
      <c r="S159" s="244"/>
      <c r="T159" s="244"/>
      <c r="U159" s="244"/>
    </row>
    <row r="160" spans="2:21" ht="13">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ht="13">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phoneticPr fontId="0" type="noConversion"/>
  <conditionalFormatting sqref="C17:C73">
    <cfRule type="cellIs" dxfId="41" priority="1" stopIfTrue="1" operator="equal">
      <formula>$I$10</formula>
    </cfRule>
  </conditionalFormatting>
  <conditionalFormatting sqref="C100:C155">
    <cfRule type="cellIs" dxfId="40"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1"/>
  </sheetPr>
  <dimension ref="A1:U163"/>
  <sheetViews>
    <sheetView view="pageBreakPreview" zoomScale="90" zoomScaleNormal="100" zoomScaleSheetLayoutView="90" workbookViewId="0"/>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"&amp;RIGHT(MID(CELL("filename",$A$1),FIND("]",CELL("filename",$A$1))+1,256),1)&amp;" of "&amp;COUNT('OKT.001:OKT.xyz - blank'!$P$3)-1</f>
        <v>OKT Project 5 of 19</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0</v>
      </c>
      <c r="P5" s="244"/>
      <c r="R5" s="244"/>
      <c r="S5" s="244"/>
      <c r="T5" s="244"/>
      <c r="U5" s="244"/>
    </row>
    <row r="6" spans="1:21" ht="15.5">
      <c r="C6" s="236"/>
      <c r="D6" s="293"/>
      <c r="E6" s="244"/>
      <c r="F6" s="244"/>
      <c r="G6" s="244"/>
      <c r="H6" s="450"/>
      <c r="I6" s="450"/>
      <c r="J6" s="451"/>
      <c r="K6" s="452" t="s">
        <v>243</v>
      </c>
      <c r="L6" s="453"/>
      <c r="M6" s="279"/>
      <c r="N6" s="454">
        <f>VLOOKUP(I10,C17:I73,6)</f>
        <v>0</v>
      </c>
      <c r="O6" s="244"/>
      <c r="P6" s="244"/>
      <c r="R6" s="244"/>
      <c r="S6" s="244"/>
      <c r="T6" s="244"/>
      <c r="U6" s="244"/>
    </row>
    <row r="7" spans="1:21" ht="13.5" thickBot="1">
      <c r="C7" s="455" t="s">
        <v>46</v>
      </c>
      <c r="D7" s="456" t="s">
        <v>211</v>
      </c>
      <c r="E7" s="244"/>
      <c r="F7" s="244"/>
      <c r="G7" s="244"/>
      <c r="H7" s="326"/>
      <c r="I7" s="326"/>
      <c r="J7" s="295"/>
      <c r="K7" s="457" t="s">
        <v>47</v>
      </c>
      <c r="L7" s="458"/>
      <c r="M7" s="458"/>
      <c r="N7" s="459">
        <f>+N6-N5</f>
        <v>0</v>
      </c>
      <c r="O7" s="244"/>
      <c r="P7" s="244"/>
      <c r="R7" s="244"/>
      <c r="S7" s="244"/>
      <c r="T7" s="244"/>
      <c r="U7" s="244"/>
    </row>
    <row r="8" spans="1:21" ht="13.5" thickBot="1">
      <c r="C8" s="460"/>
      <c r="D8" s="605" t="s">
        <v>209</v>
      </c>
      <c r="E8" s="462"/>
      <c r="F8" s="462"/>
      <c r="G8" s="462"/>
      <c r="H8" s="462"/>
      <c r="I8" s="462"/>
      <c r="J8" s="463"/>
      <c r="K8" s="462"/>
      <c r="L8" s="462"/>
      <c r="M8" s="462"/>
      <c r="N8" s="462"/>
      <c r="O8" s="463"/>
      <c r="P8" s="249"/>
      <c r="R8" s="244"/>
      <c r="S8" s="244"/>
      <c r="T8" s="244"/>
      <c r="U8" s="244"/>
    </row>
    <row r="9" spans="1:21" ht="13.5" thickBot="1">
      <c r="A9" s="152"/>
      <c r="C9" s="464" t="s">
        <v>48</v>
      </c>
      <c r="D9" s="465" t="s">
        <v>204</v>
      </c>
      <c r="E9" s="466"/>
      <c r="F9" s="466"/>
      <c r="G9" s="466"/>
      <c r="H9" s="466"/>
      <c r="I9" s="467"/>
      <c r="J9" s="468"/>
      <c r="O9" s="469"/>
      <c r="P9" s="279"/>
      <c r="R9" s="244"/>
      <c r="S9" s="244"/>
      <c r="T9" s="244"/>
      <c r="U9" s="244"/>
    </row>
    <row r="10" spans="1:21" ht="13">
      <c r="C10" s="470" t="s">
        <v>49</v>
      </c>
      <c r="D10" s="471">
        <v>0</v>
      </c>
      <c r="E10" s="300" t="s">
        <v>50</v>
      </c>
      <c r="F10" s="469"/>
      <c r="G10" s="409"/>
      <c r="H10" s="409"/>
      <c r="I10" s="472">
        <f>+OKT.WS.F.BPU.ATRR.Projected!R100</f>
        <v>2019</v>
      </c>
      <c r="J10" s="468"/>
      <c r="K10" s="295" t="s">
        <v>51</v>
      </c>
      <c r="O10" s="279"/>
      <c r="P10" s="279"/>
      <c r="R10" s="244"/>
      <c r="S10" s="244"/>
      <c r="T10" s="244"/>
      <c r="U10" s="244"/>
    </row>
    <row r="11" spans="1:21" ht="12.5">
      <c r="C11" s="473" t="s">
        <v>52</v>
      </c>
      <c r="D11" s="474">
        <v>2012</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4</v>
      </c>
      <c r="E12" s="473" t="s">
        <v>55</v>
      </c>
      <c r="F12" s="409"/>
      <c r="G12" s="221"/>
      <c r="H12" s="221"/>
      <c r="I12" s="477">
        <f>OKT.WS.F.BPU.ATRR.Projected!$F$78</f>
        <v>0.11749102697326873</v>
      </c>
      <c r="J12" s="579"/>
      <c r="K12" s="145" t="s">
        <v>56</v>
      </c>
      <c r="O12" s="279"/>
      <c r="P12" s="279"/>
      <c r="R12" s="244"/>
      <c r="S12" s="244"/>
      <c r="T12" s="244"/>
      <c r="U12" s="244"/>
    </row>
    <row r="13" spans="1:21" ht="12.5">
      <c r="C13" s="473" t="s">
        <v>57</v>
      </c>
      <c r="D13" s="475">
        <f>OKT.WS.F.BPU.ATRR.Projected!F89</f>
        <v>41</v>
      </c>
      <c r="E13" s="473" t="s">
        <v>58</v>
      </c>
      <c r="F13" s="409"/>
      <c r="G13" s="221"/>
      <c r="H13" s="221"/>
      <c r="I13" s="477">
        <f>IF(G5="",I12,OKT.WS.F.BPU.ATRR.Projected!$F$77)</f>
        <v>0.11749102697326873</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0</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49" si="0">IF(D17=F16,"","IU")</f>
        <v>IU</v>
      </c>
      <c r="C17" s="581">
        <f>IF(D11= "","-",D11)</f>
        <v>2012</v>
      </c>
      <c r="D17" s="497">
        <v>3951600</v>
      </c>
      <c r="E17" s="498">
        <v>45573.039110189922</v>
      </c>
      <c r="F17" s="497">
        <v>3906026.9608898102</v>
      </c>
      <c r="G17" s="499">
        <v>423078.95453720703</v>
      </c>
      <c r="H17" s="500">
        <v>423078.95453720703</v>
      </c>
      <c r="I17" s="585">
        <v>0</v>
      </c>
      <c r="J17" s="501"/>
      <c r="K17" s="502">
        <f>G17</f>
        <v>423078.95453720703</v>
      </c>
      <c r="L17" s="503">
        <f t="shared" ref="L17:L49" si="1">IF(K17&lt;&gt;0,+G17-K17,0)</f>
        <v>0</v>
      </c>
      <c r="M17" s="502">
        <f>H17</f>
        <v>423078.95453720703</v>
      </c>
      <c r="N17" s="504">
        <f t="shared" ref="N17:N49" si="2">IF(M17&lt;&gt;0,+H17-M17,0)</f>
        <v>0</v>
      </c>
      <c r="O17" s="505">
        <f t="shared" ref="O17:O49" si="3">+N17-L17</f>
        <v>0</v>
      </c>
      <c r="P17" s="279"/>
      <c r="R17" s="244"/>
      <c r="S17" s="244"/>
      <c r="T17" s="244"/>
      <c r="U17" s="244"/>
    </row>
    <row r="18" spans="2:21" ht="12.5">
      <c r="B18" s="145" t="str">
        <f t="shared" si="0"/>
        <v>IU</v>
      </c>
      <c r="C18" s="496">
        <f>IF(D$11="","-",+C17+1)</f>
        <v>2013</v>
      </c>
      <c r="D18" s="509"/>
      <c r="E18" s="510">
        <f t="shared" ref="E18:E32" si="4">IF(+I$14&lt;F17,I$14,D18)</f>
        <v>0</v>
      </c>
      <c r="F18" s="511">
        <f t="shared" ref="F18:F49" si="5">+D18-E18</f>
        <v>0</v>
      </c>
      <c r="G18" s="512">
        <f t="shared" ref="G18:G73" si="6">(D18+F18)/2*I$12+E18</f>
        <v>0</v>
      </c>
      <c r="H18" s="478">
        <f t="shared" ref="H18:H73" si="7">+(D18+F18)/2*I$13+E18</f>
        <v>0</v>
      </c>
      <c r="I18" s="501">
        <f t="shared" ref="I18:I49" si="8">H18-G18</f>
        <v>0</v>
      </c>
      <c r="J18" s="501"/>
      <c r="K18" s="513"/>
      <c r="L18" s="505">
        <f t="shared" si="1"/>
        <v>0</v>
      </c>
      <c r="M18" s="513"/>
      <c r="N18" s="505">
        <f t="shared" si="2"/>
        <v>0</v>
      </c>
      <c r="O18" s="505">
        <f t="shared" si="3"/>
        <v>0</v>
      </c>
      <c r="P18" s="279"/>
      <c r="R18" s="244"/>
      <c r="S18" s="244"/>
      <c r="T18" s="244"/>
      <c r="U18" s="244"/>
    </row>
    <row r="19" spans="2:21" ht="12.5">
      <c r="B19" s="145" t="str">
        <f t="shared" si="0"/>
        <v/>
      </c>
      <c r="C19" s="496">
        <f>IF(D$11="","-",+C18+1)</f>
        <v>2014</v>
      </c>
      <c r="D19" s="509"/>
      <c r="E19" s="510">
        <f t="shared" si="4"/>
        <v>0</v>
      </c>
      <c r="F19" s="511">
        <f t="shared" si="5"/>
        <v>0</v>
      </c>
      <c r="G19" s="512">
        <f t="shared" si="6"/>
        <v>0</v>
      </c>
      <c r="H19" s="478">
        <f t="shared" si="7"/>
        <v>0</v>
      </c>
      <c r="I19" s="501">
        <f t="shared" si="8"/>
        <v>0</v>
      </c>
      <c r="J19" s="501"/>
      <c r="K19" s="513"/>
      <c r="L19" s="505">
        <f t="shared" si="1"/>
        <v>0</v>
      </c>
      <c r="M19" s="513"/>
      <c r="N19" s="505">
        <f t="shared" si="2"/>
        <v>0</v>
      </c>
      <c r="O19" s="505">
        <f t="shared" si="3"/>
        <v>0</v>
      </c>
      <c r="P19" s="279"/>
      <c r="R19" s="244"/>
      <c r="S19" s="244"/>
      <c r="T19" s="244"/>
      <c r="U19" s="244"/>
    </row>
    <row r="20" spans="2:21" ht="12.5">
      <c r="B20" s="145" t="str">
        <f t="shared" si="0"/>
        <v/>
      </c>
      <c r="C20" s="496">
        <f>IF(D$11="","-",+C19+1)</f>
        <v>2015</v>
      </c>
      <c r="D20" s="509"/>
      <c r="E20" s="510">
        <f t="shared" si="4"/>
        <v>0</v>
      </c>
      <c r="F20" s="511">
        <f t="shared" si="5"/>
        <v>0</v>
      </c>
      <c r="G20" s="512">
        <f t="shared" si="6"/>
        <v>0</v>
      </c>
      <c r="H20" s="478">
        <f t="shared" si="7"/>
        <v>0</v>
      </c>
      <c r="I20" s="501">
        <f t="shared" si="8"/>
        <v>0</v>
      </c>
      <c r="J20" s="501"/>
      <c r="K20" s="513"/>
      <c r="L20" s="505">
        <f t="shared" si="1"/>
        <v>0</v>
      </c>
      <c r="M20" s="513"/>
      <c r="N20" s="505">
        <f t="shared" si="2"/>
        <v>0</v>
      </c>
      <c r="O20" s="505">
        <f t="shared" si="3"/>
        <v>0</v>
      </c>
      <c r="P20" s="279"/>
      <c r="R20" s="244"/>
      <c r="S20" s="244"/>
      <c r="T20" s="244"/>
      <c r="U20" s="244"/>
    </row>
    <row r="21" spans="2:21" ht="12.5">
      <c r="B21" s="145" t="str">
        <f t="shared" si="0"/>
        <v/>
      </c>
      <c r="C21" s="496">
        <f>IF(D12="","-",+C20+1)</f>
        <v>2016</v>
      </c>
      <c r="D21" s="509"/>
      <c r="E21" s="510">
        <f t="shared" si="4"/>
        <v>0</v>
      </c>
      <c r="F21" s="511">
        <f t="shared" si="5"/>
        <v>0</v>
      </c>
      <c r="G21" s="512">
        <f t="shared" si="6"/>
        <v>0</v>
      </c>
      <c r="H21" s="478">
        <f t="shared" si="7"/>
        <v>0</v>
      </c>
      <c r="I21" s="501">
        <f t="shared" si="8"/>
        <v>0</v>
      </c>
      <c r="J21" s="501"/>
      <c r="K21" s="513"/>
      <c r="L21" s="505">
        <f t="shared" si="1"/>
        <v>0</v>
      </c>
      <c r="M21" s="513"/>
      <c r="N21" s="505">
        <f t="shared" si="2"/>
        <v>0</v>
      </c>
      <c r="O21" s="505">
        <f t="shared" si="3"/>
        <v>0</v>
      </c>
      <c r="P21" s="279"/>
      <c r="R21" s="244"/>
      <c r="S21" s="244"/>
      <c r="T21" s="244"/>
      <c r="U21" s="244"/>
    </row>
    <row r="22" spans="2:21" ht="12.5">
      <c r="B22" s="145" t="str">
        <f t="shared" si="0"/>
        <v/>
      </c>
      <c r="C22" s="496">
        <f>IF(D$11="","-",+C21+1)</f>
        <v>2017</v>
      </c>
      <c r="D22" s="509"/>
      <c r="E22" s="510">
        <f t="shared" si="4"/>
        <v>0</v>
      </c>
      <c r="F22" s="511">
        <f t="shared" si="5"/>
        <v>0</v>
      </c>
      <c r="G22" s="512">
        <f t="shared" si="6"/>
        <v>0</v>
      </c>
      <c r="H22" s="478">
        <f t="shared" si="7"/>
        <v>0</v>
      </c>
      <c r="I22" s="501">
        <f t="shared" si="8"/>
        <v>0</v>
      </c>
      <c r="J22" s="501"/>
      <c r="K22" s="513"/>
      <c r="L22" s="505">
        <f t="shared" si="1"/>
        <v>0</v>
      </c>
      <c r="M22" s="513"/>
      <c r="N22" s="505">
        <f t="shared" si="2"/>
        <v>0</v>
      </c>
      <c r="O22" s="505">
        <f t="shared" si="3"/>
        <v>0</v>
      </c>
      <c r="P22" s="279"/>
      <c r="R22" s="244"/>
      <c r="S22" s="244"/>
      <c r="T22" s="244"/>
      <c r="U22" s="244"/>
    </row>
    <row r="23" spans="2:21" ht="12.5">
      <c r="B23" s="145" t="str">
        <f t="shared" si="0"/>
        <v/>
      </c>
      <c r="C23" s="496">
        <f>IF(D$11="","-",+C22+1)</f>
        <v>2018</v>
      </c>
      <c r="D23" s="509"/>
      <c r="E23" s="510">
        <f t="shared" si="4"/>
        <v>0</v>
      </c>
      <c r="F23" s="511">
        <f t="shared" si="5"/>
        <v>0</v>
      </c>
      <c r="G23" s="512">
        <f t="shared" si="6"/>
        <v>0</v>
      </c>
      <c r="H23" s="478">
        <f t="shared" si="7"/>
        <v>0</v>
      </c>
      <c r="I23" s="501">
        <f t="shared" si="8"/>
        <v>0</v>
      </c>
      <c r="J23" s="501"/>
      <c r="K23" s="513"/>
      <c r="L23" s="505">
        <f t="shared" si="1"/>
        <v>0</v>
      </c>
      <c r="M23" s="513"/>
      <c r="N23" s="505">
        <f t="shared" si="2"/>
        <v>0</v>
      </c>
      <c r="O23" s="505">
        <f t="shared" si="3"/>
        <v>0</v>
      </c>
      <c r="P23" s="279"/>
      <c r="R23" s="244"/>
      <c r="S23" s="244"/>
      <c r="T23" s="244"/>
      <c r="U23" s="244"/>
    </row>
    <row r="24" spans="2:21" ht="12.5">
      <c r="B24" s="145" t="str">
        <f t="shared" si="0"/>
        <v/>
      </c>
      <c r="C24" s="496">
        <f>IF(D$11="","-",+C23+1)</f>
        <v>2019</v>
      </c>
      <c r="D24" s="509"/>
      <c r="E24" s="510">
        <f t="shared" si="4"/>
        <v>0</v>
      </c>
      <c r="F24" s="511">
        <f t="shared" si="5"/>
        <v>0</v>
      </c>
      <c r="G24" s="512">
        <f t="shared" si="6"/>
        <v>0</v>
      </c>
      <c r="H24" s="478">
        <f t="shared" si="7"/>
        <v>0</v>
      </c>
      <c r="I24" s="501">
        <f t="shared" si="8"/>
        <v>0</v>
      </c>
      <c r="J24" s="501"/>
      <c r="K24" s="513"/>
      <c r="L24" s="505">
        <f t="shared" si="1"/>
        <v>0</v>
      </c>
      <c r="M24" s="513"/>
      <c r="N24" s="505">
        <f t="shared" si="2"/>
        <v>0</v>
      </c>
      <c r="O24" s="505">
        <f t="shared" si="3"/>
        <v>0</v>
      </c>
      <c r="P24" s="279"/>
      <c r="R24" s="244"/>
      <c r="S24" s="244"/>
      <c r="T24" s="244"/>
      <c r="U24" s="244"/>
    </row>
    <row r="25" spans="2:21" ht="12.5">
      <c r="B25" s="145" t="str">
        <f t="shared" si="0"/>
        <v/>
      </c>
      <c r="C25" s="496">
        <f>IF(D$11="","-",+C24+1)</f>
        <v>2020</v>
      </c>
      <c r="D25" s="509"/>
      <c r="E25" s="510">
        <f t="shared" si="4"/>
        <v>0</v>
      </c>
      <c r="F25" s="511">
        <f t="shared" si="5"/>
        <v>0</v>
      </c>
      <c r="G25" s="512">
        <f t="shared" si="6"/>
        <v>0</v>
      </c>
      <c r="H25" s="478">
        <f t="shared" si="7"/>
        <v>0</v>
      </c>
      <c r="I25" s="501">
        <f t="shared" si="8"/>
        <v>0</v>
      </c>
      <c r="J25" s="501"/>
      <c r="K25" s="513"/>
      <c r="L25" s="505">
        <f t="shared" si="1"/>
        <v>0</v>
      </c>
      <c r="M25" s="513"/>
      <c r="N25" s="505">
        <f t="shared" si="2"/>
        <v>0</v>
      </c>
      <c r="O25" s="505">
        <f t="shared" si="3"/>
        <v>0</v>
      </c>
      <c r="P25" s="279"/>
      <c r="R25" s="244"/>
      <c r="S25" s="244"/>
      <c r="T25" s="244"/>
      <c r="U25" s="244"/>
    </row>
    <row r="26" spans="2:21" ht="12.5">
      <c r="B26" s="145" t="str">
        <f t="shared" si="0"/>
        <v/>
      </c>
      <c r="C26" s="496">
        <f>IF(D$11="","-",+C25+1)</f>
        <v>2021</v>
      </c>
      <c r="D26" s="509"/>
      <c r="E26" s="510">
        <f t="shared" si="4"/>
        <v>0</v>
      </c>
      <c r="F26" s="511">
        <f t="shared" si="5"/>
        <v>0</v>
      </c>
      <c r="G26" s="512">
        <f t="shared" si="6"/>
        <v>0</v>
      </c>
      <c r="H26" s="478">
        <f t="shared" si="7"/>
        <v>0</v>
      </c>
      <c r="I26" s="501">
        <f t="shared" si="8"/>
        <v>0</v>
      </c>
      <c r="J26" s="501"/>
      <c r="K26" s="513"/>
      <c r="L26" s="505">
        <f t="shared" si="1"/>
        <v>0</v>
      </c>
      <c r="M26" s="513"/>
      <c r="N26" s="505">
        <f t="shared" si="2"/>
        <v>0</v>
      </c>
      <c r="O26" s="505">
        <f t="shared" si="3"/>
        <v>0</v>
      </c>
      <c r="P26" s="279"/>
      <c r="R26" s="244"/>
      <c r="S26" s="244"/>
      <c r="T26" s="244"/>
      <c r="U26" s="244"/>
    </row>
    <row r="27" spans="2:21" ht="12.5">
      <c r="B27" s="145" t="str">
        <f t="shared" si="0"/>
        <v/>
      </c>
      <c r="C27" s="496">
        <f t="shared" ref="C27:C73" si="9">IF(D$11="","-",+C26+1)</f>
        <v>2022</v>
      </c>
      <c r="D27" s="509"/>
      <c r="E27" s="510">
        <f t="shared" si="4"/>
        <v>0</v>
      </c>
      <c r="F27" s="511">
        <f t="shared" si="5"/>
        <v>0</v>
      </c>
      <c r="G27" s="512">
        <f t="shared" si="6"/>
        <v>0</v>
      </c>
      <c r="H27" s="478">
        <f t="shared" si="7"/>
        <v>0</v>
      </c>
      <c r="I27" s="501">
        <f t="shared" si="8"/>
        <v>0</v>
      </c>
      <c r="J27" s="501"/>
      <c r="K27" s="513"/>
      <c r="L27" s="505">
        <f t="shared" si="1"/>
        <v>0</v>
      </c>
      <c r="M27" s="513"/>
      <c r="N27" s="505">
        <f t="shared" si="2"/>
        <v>0</v>
      </c>
      <c r="O27" s="505">
        <f t="shared" si="3"/>
        <v>0</v>
      </c>
      <c r="P27" s="279"/>
      <c r="R27" s="244"/>
      <c r="S27" s="244"/>
      <c r="T27" s="244"/>
      <c r="U27" s="244"/>
    </row>
    <row r="28" spans="2:21" ht="12.5">
      <c r="B28" s="145" t="str">
        <f t="shared" si="0"/>
        <v/>
      </c>
      <c r="C28" s="496">
        <f t="shared" si="9"/>
        <v>2023</v>
      </c>
      <c r="D28" s="509"/>
      <c r="E28" s="510">
        <f t="shared" si="4"/>
        <v>0</v>
      </c>
      <c r="F28" s="511">
        <f t="shared" si="5"/>
        <v>0</v>
      </c>
      <c r="G28" s="512">
        <f t="shared" si="6"/>
        <v>0</v>
      </c>
      <c r="H28" s="478">
        <f t="shared" si="7"/>
        <v>0</v>
      </c>
      <c r="I28" s="501">
        <f t="shared" si="8"/>
        <v>0</v>
      </c>
      <c r="J28" s="501"/>
      <c r="K28" s="513"/>
      <c r="L28" s="505">
        <f t="shared" si="1"/>
        <v>0</v>
      </c>
      <c r="M28" s="513"/>
      <c r="N28" s="505">
        <f t="shared" si="2"/>
        <v>0</v>
      </c>
      <c r="O28" s="505">
        <f t="shared" si="3"/>
        <v>0</v>
      </c>
      <c r="P28" s="279"/>
      <c r="R28" s="244"/>
      <c r="S28" s="244"/>
      <c r="T28" s="244"/>
      <c r="U28" s="244"/>
    </row>
    <row r="29" spans="2:21" ht="12.5">
      <c r="B29" s="145" t="str">
        <f t="shared" si="0"/>
        <v/>
      </c>
      <c r="C29" s="496">
        <f t="shared" si="9"/>
        <v>2024</v>
      </c>
      <c r="D29" s="509"/>
      <c r="E29" s="510">
        <f t="shared" si="4"/>
        <v>0</v>
      </c>
      <c r="F29" s="511">
        <f t="shared" si="5"/>
        <v>0</v>
      </c>
      <c r="G29" s="512">
        <f t="shared" si="6"/>
        <v>0</v>
      </c>
      <c r="H29" s="478">
        <f t="shared" si="7"/>
        <v>0</v>
      </c>
      <c r="I29" s="501">
        <f t="shared" si="8"/>
        <v>0</v>
      </c>
      <c r="J29" s="501"/>
      <c r="K29" s="513"/>
      <c r="L29" s="505">
        <f t="shared" si="1"/>
        <v>0</v>
      </c>
      <c r="M29" s="513"/>
      <c r="N29" s="505">
        <f t="shared" si="2"/>
        <v>0</v>
      </c>
      <c r="O29" s="505">
        <f t="shared" si="3"/>
        <v>0</v>
      </c>
      <c r="P29" s="279"/>
      <c r="R29" s="244"/>
      <c r="S29" s="244"/>
      <c r="T29" s="244"/>
      <c r="U29" s="244"/>
    </row>
    <row r="30" spans="2:21" ht="12.5">
      <c r="B30" s="145" t="str">
        <f t="shared" si="0"/>
        <v/>
      </c>
      <c r="C30" s="496">
        <f t="shared" si="9"/>
        <v>2025</v>
      </c>
      <c r="D30" s="509"/>
      <c r="E30" s="510">
        <f t="shared" si="4"/>
        <v>0</v>
      </c>
      <c r="F30" s="511">
        <f t="shared" si="5"/>
        <v>0</v>
      </c>
      <c r="G30" s="512">
        <f t="shared" si="6"/>
        <v>0</v>
      </c>
      <c r="H30" s="478">
        <f t="shared" si="7"/>
        <v>0</v>
      </c>
      <c r="I30" s="501">
        <f t="shared" si="8"/>
        <v>0</v>
      </c>
      <c r="J30" s="501"/>
      <c r="K30" s="513"/>
      <c r="L30" s="505">
        <f t="shared" si="1"/>
        <v>0</v>
      </c>
      <c r="M30" s="513"/>
      <c r="N30" s="505">
        <f t="shared" si="2"/>
        <v>0</v>
      </c>
      <c r="O30" s="505">
        <f t="shared" si="3"/>
        <v>0</v>
      </c>
      <c r="P30" s="279"/>
      <c r="R30" s="244"/>
      <c r="S30" s="244"/>
      <c r="T30" s="244"/>
      <c r="U30" s="244"/>
    </row>
    <row r="31" spans="2:21" ht="12.5">
      <c r="B31" s="145" t="str">
        <f t="shared" si="0"/>
        <v/>
      </c>
      <c r="C31" s="496">
        <f t="shared" si="9"/>
        <v>2026</v>
      </c>
      <c r="D31" s="509"/>
      <c r="E31" s="510">
        <f t="shared" si="4"/>
        <v>0</v>
      </c>
      <c r="F31" s="511">
        <f t="shared" si="5"/>
        <v>0</v>
      </c>
      <c r="G31" s="512">
        <f t="shared" si="6"/>
        <v>0</v>
      </c>
      <c r="H31" s="478">
        <f t="shared" si="7"/>
        <v>0</v>
      </c>
      <c r="I31" s="501">
        <f t="shared" si="8"/>
        <v>0</v>
      </c>
      <c r="J31" s="501"/>
      <c r="K31" s="513"/>
      <c r="L31" s="505">
        <f t="shared" si="1"/>
        <v>0</v>
      </c>
      <c r="M31" s="513"/>
      <c r="N31" s="505">
        <f t="shared" si="2"/>
        <v>0</v>
      </c>
      <c r="O31" s="505">
        <f t="shared" si="3"/>
        <v>0</v>
      </c>
      <c r="P31" s="279"/>
      <c r="Q31" s="221"/>
      <c r="R31" s="279"/>
      <c r="S31" s="279"/>
      <c r="T31" s="279"/>
      <c r="U31" s="244"/>
    </row>
    <row r="32" spans="2:21" ht="12.5">
      <c r="B32" s="145" t="str">
        <f t="shared" si="0"/>
        <v/>
      </c>
      <c r="C32" s="496">
        <f t="shared" si="9"/>
        <v>2027</v>
      </c>
      <c r="D32" s="509"/>
      <c r="E32" s="510">
        <f t="shared" si="4"/>
        <v>0</v>
      </c>
      <c r="F32" s="511">
        <f>+D32-E32</f>
        <v>0</v>
      </c>
      <c r="G32" s="512">
        <f t="shared" si="6"/>
        <v>0</v>
      </c>
      <c r="H32" s="478">
        <f t="shared" si="7"/>
        <v>0</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0"/>
        <v/>
      </c>
      <c r="C33" s="496">
        <f t="shared" si="9"/>
        <v>2028</v>
      </c>
      <c r="D33" s="509"/>
      <c r="E33" s="510">
        <f>IF(+I$14&lt;F31,I$14,D33)</f>
        <v>0</v>
      </c>
      <c r="F33" s="511">
        <f t="shared" si="5"/>
        <v>0</v>
      </c>
      <c r="G33" s="512">
        <f t="shared" si="6"/>
        <v>0</v>
      </c>
      <c r="H33" s="478">
        <f t="shared" si="7"/>
        <v>0</v>
      </c>
      <c r="I33" s="501">
        <f t="shared" si="8"/>
        <v>0</v>
      </c>
      <c r="J33" s="501"/>
      <c r="K33" s="513"/>
      <c r="L33" s="505">
        <f t="shared" si="1"/>
        <v>0</v>
      </c>
      <c r="M33" s="513"/>
      <c r="N33" s="505">
        <f t="shared" si="2"/>
        <v>0</v>
      </c>
      <c r="O33" s="505">
        <f t="shared" si="3"/>
        <v>0</v>
      </c>
      <c r="P33" s="279"/>
      <c r="R33" s="244"/>
      <c r="S33" s="244"/>
      <c r="T33" s="244"/>
      <c r="U33" s="244"/>
    </row>
    <row r="34" spans="2:21" ht="12.5">
      <c r="B34" s="145" t="str">
        <f t="shared" si="0"/>
        <v/>
      </c>
      <c r="C34" s="496">
        <f t="shared" si="9"/>
        <v>2029</v>
      </c>
      <c r="D34" s="509"/>
      <c r="E34" s="510">
        <f t="shared" ref="E34:E73" si="10">IF(+I$14&lt;F33,I$14,D34)</f>
        <v>0</v>
      </c>
      <c r="F34" s="511">
        <f t="shared" si="5"/>
        <v>0</v>
      </c>
      <c r="G34" s="512">
        <f t="shared" si="6"/>
        <v>0</v>
      </c>
      <c r="H34" s="478">
        <f t="shared" si="7"/>
        <v>0</v>
      </c>
      <c r="I34" s="501">
        <f t="shared" si="8"/>
        <v>0</v>
      </c>
      <c r="J34" s="501"/>
      <c r="K34" s="513"/>
      <c r="L34" s="505">
        <f t="shared" si="1"/>
        <v>0</v>
      </c>
      <c r="M34" s="513"/>
      <c r="N34" s="505">
        <f t="shared" si="2"/>
        <v>0</v>
      </c>
      <c r="O34" s="505">
        <f t="shared" si="3"/>
        <v>0</v>
      </c>
      <c r="P34" s="523"/>
      <c r="Q34" s="217"/>
      <c r="R34" s="523"/>
      <c r="S34" s="523"/>
      <c r="T34" s="523"/>
      <c r="U34" s="244"/>
    </row>
    <row r="35" spans="2:21" ht="12.5">
      <c r="B35" s="145" t="str">
        <f t="shared" si="0"/>
        <v/>
      </c>
      <c r="C35" s="496">
        <f t="shared" si="9"/>
        <v>2030</v>
      </c>
      <c r="D35" s="509"/>
      <c r="E35" s="510">
        <f t="shared" si="10"/>
        <v>0</v>
      </c>
      <c r="F35" s="511">
        <f t="shared" si="5"/>
        <v>0</v>
      </c>
      <c r="G35" s="512">
        <f t="shared" si="6"/>
        <v>0</v>
      </c>
      <c r="H35" s="478">
        <f t="shared" si="7"/>
        <v>0</v>
      </c>
      <c r="I35" s="501">
        <f t="shared" si="8"/>
        <v>0</v>
      </c>
      <c r="J35" s="501"/>
      <c r="K35" s="513"/>
      <c r="L35" s="505">
        <f t="shared" si="1"/>
        <v>0</v>
      </c>
      <c r="M35" s="513"/>
      <c r="N35" s="505">
        <f t="shared" si="2"/>
        <v>0</v>
      </c>
      <c r="O35" s="505">
        <f t="shared" si="3"/>
        <v>0</v>
      </c>
      <c r="P35" s="279"/>
      <c r="R35" s="244"/>
      <c r="S35" s="244"/>
      <c r="T35" s="244"/>
      <c r="U35" s="244"/>
    </row>
    <row r="36" spans="2:21" ht="12.5">
      <c r="B36" s="145" t="str">
        <f t="shared" si="0"/>
        <v/>
      </c>
      <c r="C36" s="496">
        <f t="shared" si="9"/>
        <v>2031</v>
      </c>
      <c r="D36" s="509"/>
      <c r="E36" s="510">
        <f t="shared" si="10"/>
        <v>0</v>
      </c>
      <c r="F36" s="511">
        <f t="shared" si="5"/>
        <v>0</v>
      </c>
      <c r="G36" s="512">
        <f t="shared" si="6"/>
        <v>0</v>
      </c>
      <c r="H36" s="478">
        <f t="shared" si="7"/>
        <v>0</v>
      </c>
      <c r="I36" s="501">
        <f t="shared" si="8"/>
        <v>0</v>
      </c>
      <c r="J36" s="501"/>
      <c r="K36" s="513"/>
      <c r="L36" s="505">
        <f t="shared" si="1"/>
        <v>0</v>
      </c>
      <c r="M36" s="513"/>
      <c r="N36" s="505">
        <f t="shared" si="2"/>
        <v>0</v>
      </c>
      <c r="O36" s="505">
        <f t="shared" si="3"/>
        <v>0</v>
      </c>
      <c r="P36" s="279"/>
      <c r="R36" s="244"/>
      <c r="S36" s="244"/>
      <c r="T36" s="244"/>
      <c r="U36" s="244"/>
    </row>
    <row r="37" spans="2:21" ht="12.5">
      <c r="B37" s="145" t="str">
        <f t="shared" si="0"/>
        <v/>
      </c>
      <c r="C37" s="496">
        <f t="shared" si="9"/>
        <v>2032</v>
      </c>
      <c r="D37" s="509"/>
      <c r="E37" s="510">
        <f t="shared" si="10"/>
        <v>0</v>
      </c>
      <c r="F37" s="511">
        <f t="shared" si="5"/>
        <v>0</v>
      </c>
      <c r="G37" s="512">
        <f t="shared" si="6"/>
        <v>0</v>
      </c>
      <c r="H37" s="478">
        <f t="shared" si="7"/>
        <v>0</v>
      </c>
      <c r="I37" s="501">
        <f t="shared" si="8"/>
        <v>0</v>
      </c>
      <c r="J37" s="501"/>
      <c r="K37" s="513"/>
      <c r="L37" s="505">
        <f t="shared" si="1"/>
        <v>0</v>
      </c>
      <c r="M37" s="513"/>
      <c r="N37" s="505">
        <f t="shared" si="2"/>
        <v>0</v>
      </c>
      <c r="O37" s="505">
        <f t="shared" si="3"/>
        <v>0</v>
      </c>
      <c r="P37" s="279"/>
      <c r="R37" s="244"/>
      <c r="S37" s="244"/>
      <c r="T37" s="244"/>
      <c r="U37" s="244"/>
    </row>
    <row r="38" spans="2:21" ht="12.5">
      <c r="B38" s="145" t="str">
        <f t="shared" si="0"/>
        <v/>
      </c>
      <c r="C38" s="496">
        <f t="shared" si="9"/>
        <v>2033</v>
      </c>
      <c r="D38" s="509"/>
      <c r="E38" s="510">
        <f t="shared" si="10"/>
        <v>0</v>
      </c>
      <c r="F38" s="511">
        <f t="shared" si="5"/>
        <v>0</v>
      </c>
      <c r="G38" s="512">
        <f t="shared" si="6"/>
        <v>0</v>
      </c>
      <c r="H38" s="478">
        <f t="shared" si="7"/>
        <v>0</v>
      </c>
      <c r="I38" s="501">
        <f t="shared" si="8"/>
        <v>0</v>
      </c>
      <c r="J38" s="501"/>
      <c r="K38" s="513"/>
      <c r="L38" s="505">
        <f t="shared" si="1"/>
        <v>0</v>
      </c>
      <c r="M38" s="513"/>
      <c r="N38" s="505">
        <f t="shared" si="2"/>
        <v>0</v>
      </c>
      <c r="O38" s="505">
        <f t="shared" si="3"/>
        <v>0</v>
      </c>
      <c r="P38" s="279"/>
      <c r="R38" s="244"/>
      <c r="S38" s="244"/>
      <c r="T38" s="244"/>
      <c r="U38" s="244"/>
    </row>
    <row r="39" spans="2:21" ht="12.5">
      <c r="B39" s="145" t="str">
        <f t="shared" si="0"/>
        <v/>
      </c>
      <c r="C39" s="496">
        <f t="shared" si="9"/>
        <v>2034</v>
      </c>
      <c r="D39" s="509"/>
      <c r="E39" s="510">
        <f t="shared" si="10"/>
        <v>0</v>
      </c>
      <c r="F39" s="511">
        <f t="shared" si="5"/>
        <v>0</v>
      </c>
      <c r="G39" s="512">
        <f t="shared" si="6"/>
        <v>0</v>
      </c>
      <c r="H39" s="478">
        <f t="shared" si="7"/>
        <v>0</v>
      </c>
      <c r="I39" s="501">
        <f t="shared" si="8"/>
        <v>0</v>
      </c>
      <c r="J39" s="501"/>
      <c r="K39" s="513"/>
      <c r="L39" s="505">
        <f t="shared" si="1"/>
        <v>0</v>
      </c>
      <c r="M39" s="513"/>
      <c r="N39" s="505">
        <f t="shared" si="2"/>
        <v>0</v>
      </c>
      <c r="O39" s="505">
        <f t="shared" si="3"/>
        <v>0</v>
      </c>
      <c r="P39" s="279"/>
      <c r="R39" s="244"/>
      <c r="S39" s="244"/>
      <c r="T39" s="244"/>
      <c r="U39" s="244"/>
    </row>
    <row r="40" spans="2:21" ht="12.5">
      <c r="B40" s="145" t="str">
        <f t="shared" si="0"/>
        <v/>
      </c>
      <c r="C40" s="496">
        <f t="shared" si="9"/>
        <v>2035</v>
      </c>
      <c r="D40" s="509"/>
      <c r="E40" s="510">
        <f t="shared" si="10"/>
        <v>0</v>
      </c>
      <c r="F40" s="511">
        <f t="shared" si="5"/>
        <v>0</v>
      </c>
      <c r="G40" s="512">
        <f t="shared" si="6"/>
        <v>0</v>
      </c>
      <c r="H40" s="478">
        <f t="shared" si="7"/>
        <v>0</v>
      </c>
      <c r="I40" s="501">
        <f t="shared" si="8"/>
        <v>0</v>
      </c>
      <c r="J40" s="501"/>
      <c r="K40" s="513"/>
      <c r="L40" s="505">
        <f t="shared" si="1"/>
        <v>0</v>
      </c>
      <c r="M40" s="513"/>
      <c r="N40" s="505">
        <f t="shared" si="2"/>
        <v>0</v>
      </c>
      <c r="O40" s="505">
        <f t="shared" si="3"/>
        <v>0</v>
      </c>
      <c r="P40" s="279"/>
      <c r="R40" s="244"/>
      <c r="S40" s="244"/>
      <c r="T40" s="244"/>
      <c r="U40" s="244"/>
    </row>
    <row r="41" spans="2:21" ht="12.5">
      <c r="B41" s="145" t="str">
        <f t="shared" si="0"/>
        <v/>
      </c>
      <c r="C41" s="496">
        <f t="shared" si="9"/>
        <v>2036</v>
      </c>
      <c r="D41" s="509"/>
      <c r="E41" s="510">
        <f t="shared" si="10"/>
        <v>0</v>
      </c>
      <c r="F41" s="511">
        <f t="shared" si="5"/>
        <v>0</v>
      </c>
      <c r="G41" s="512">
        <f t="shared" si="6"/>
        <v>0</v>
      </c>
      <c r="H41" s="478">
        <f t="shared" si="7"/>
        <v>0</v>
      </c>
      <c r="I41" s="501">
        <f t="shared" si="8"/>
        <v>0</v>
      </c>
      <c r="J41" s="501"/>
      <c r="K41" s="513"/>
      <c r="L41" s="505">
        <f t="shared" si="1"/>
        <v>0</v>
      </c>
      <c r="M41" s="513"/>
      <c r="N41" s="505">
        <f t="shared" si="2"/>
        <v>0</v>
      </c>
      <c r="O41" s="505">
        <f t="shared" si="3"/>
        <v>0</v>
      </c>
      <c r="P41" s="279"/>
      <c r="R41" s="244"/>
      <c r="S41" s="244"/>
      <c r="T41" s="244"/>
      <c r="U41" s="244"/>
    </row>
    <row r="42" spans="2:21" ht="12.5">
      <c r="B42" s="145" t="str">
        <f t="shared" si="0"/>
        <v/>
      </c>
      <c r="C42" s="496">
        <f t="shared" si="9"/>
        <v>2037</v>
      </c>
      <c r="D42" s="509"/>
      <c r="E42" s="510">
        <f t="shared" si="10"/>
        <v>0</v>
      </c>
      <c r="F42" s="511">
        <f t="shared" si="5"/>
        <v>0</v>
      </c>
      <c r="G42" s="512">
        <f t="shared" si="6"/>
        <v>0</v>
      </c>
      <c r="H42" s="478">
        <f t="shared" si="7"/>
        <v>0</v>
      </c>
      <c r="I42" s="501">
        <f t="shared" si="8"/>
        <v>0</v>
      </c>
      <c r="J42" s="501"/>
      <c r="K42" s="513"/>
      <c r="L42" s="505">
        <f t="shared" si="1"/>
        <v>0</v>
      </c>
      <c r="M42" s="513"/>
      <c r="N42" s="505">
        <f t="shared" si="2"/>
        <v>0</v>
      </c>
      <c r="O42" s="505">
        <f t="shared" si="3"/>
        <v>0</v>
      </c>
      <c r="P42" s="279"/>
      <c r="R42" s="244"/>
      <c r="S42" s="244"/>
      <c r="T42" s="244"/>
      <c r="U42" s="244"/>
    </row>
    <row r="43" spans="2:21" ht="12.5">
      <c r="B43" s="145" t="str">
        <f t="shared" si="0"/>
        <v/>
      </c>
      <c r="C43" s="496">
        <f t="shared" si="9"/>
        <v>2038</v>
      </c>
      <c r="D43" s="509"/>
      <c r="E43" s="510">
        <f t="shared" si="10"/>
        <v>0</v>
      </c>
      <c r="F43" s="511">
        <f t="shared" si="5"/>
        <v>0</v>
      </c>
      <c r="G43" s="512">
        <f t="shared" si="6"/>
        <v>0</v>
      </c>
      <c r="H43" s="478">
        <f t="shared" si="7"/>
        <v>0</v>
      </c>
      <c r="I43" s="501">
        <f t="shared" si="8"/>
        <v>0</v>
      </c>
      <c r="J43" s="501"/>
      <c r="K43" s="513"/>
      <c r="L43" s="505">
        <f t="shared" si="1"/>
        <v>0</v>
      </c>
      <c r="M43" s="513"/>
      <c r="N43" s="505">
        <f t="shared" si="2"/>
        <v>0</v>
      </c>
      <c r="O43" s="505">
        <f t="shared" si="3"/>
        <v>0</v>
      </c>
      <c r="P43" s="279"/>
      <c r="R43" s="244"/>
      <c r="S43" s="244"/>
      <c r="T43" s="244"/>
      <c r="U43" s="244"/>
    </row>
    <row r="44" spans="2:21" ht="12.5">
      <c r="B44" s="145" t="str">
        <f t="shared" si="0"/>
        <v/>
      </c>
      <c r="C44" s="496">
        <f t="shared" si="9"/>
        <v>2039</v>
      </c>
      <c r="D44" s="509"/>
      <c r="E44" s="510">
        <f t="shared" si="10"/>
        <v>0</v>
      </c>
      <c r="F44" s="511">
        <f t="shared" si="5"/>
        <v>0</v>
      </c>
      <c r="G44" s="512">
        <f t="shared" si="6"/>
        <v>0</v>
      </c>
      <c r="H44" s="478">
        <f t="shared" si="7"/>
        <v>0</v>
      </c>
      <c r="I44" s="501">
        <f t="shared" si="8"/>
        <v>0</v>
      </c>
      <c r="J44" s="501"/>
      <c r="K44" s="513"/>
      <c r="L44" s="505">
        <f t="shared" si="1"/>
        <v>0</v>
      </c>
      <c r="M44" s="513"/>
      <c r="N44" s="505">
        <f t="shared" si="2"/>
        <v>0</v>
      </c>
      <c r="O44" s="505">
        <f t="shared" si="3"/>
        <v>0</v>
      </c>
      <c r="P44" s="279"/>
      <c r="R44" s="244"/>
      <c r="S44" s="244"/>
      <c r="T44" s="244"/>
      <c r="U44" s="244"/>
    </row>
    <row r="45" spans="2:21" ht="12.5">
      <c r="B45" s="145" t="str">
        <f t="shared" si="0"/>
        <v/>
      </c>
      <c r="C45" s="496">
        <f t="shared" si="9"/>
        <v>2040</v>
      </c>
      <c r="D45" s="509"/>
      <c r="E45" s="510">
        <f t="shared" si="10"/>
        <v>0</v>
      </c>
      <c r="F45" s="511">
        <f t="shared" si="5"/>
        <v>0</v>
      </c>
      <c r="G45" s="512">
        <f t="shared" si="6"/>
        <v>0</v>
      </c>
      <c r="H45" s="478">
        <f t="shared" si="7"/>
        <v>0</v>
      </c>
      <c r="I45" s="501">
        <f t="shared" si="8"/>
        <v>0</v>
      </c>
      <c r="J45" s="501"/>
      <c r="K45" s="513"/>
      <c r="L45" s="505">
        <f t="shared" si="1"/>
        <v>0</v>
      </c>
      <c r="M45" s="513"/>
      <c r="N45" s="505">
        <f t="shared" si="2"/>
        <v>0</v>
      </c>
      <c r="O45" s="505">
        <f t="shared" si="3"/>
        <v>0</v>
      </c>
      <c r="P45" s="279"/>
      <c r="R45" s="244"/>
      <c r="S45" s="244"/>
      <c r="T45" s="244"/>
      <c r="U45" s="244"/>
    </row>
    <row r="46" spans="2:21" ht="12.5">
      <c r="B46" s="145" t="str">
        <f t="shared" si="0"/>
        <v/>
      </c>
      <c r="C46" s="496">
        <f t="shared" si="9"/>
        <v>2041</v>
      </c>
      <c r="D46" s="509"/>
      <c r="E46" s="510">
        <f t="shared" si="10"/>
        <v>0</v>
      </c>
      <c r="F46" s="511">
        <f t="shared" si="5"/>
        <v>0</v>
      </c>
      <c r="G46" s="512">
        <f t="shared" si="6"/>
        <v>0</v>
      </c>
      <c r="H46" s="478">
        <f t="shared" si="7"/>
        <v>0</v>
      </c>
      <c r="I46" s="501">
        <f t="shared" si="8"/>
        <v>0</v>
      </c>
      <c r="J46" s="501"/>
      <c r="K46" s="513"/>
      <c r="L46" s="505">
        <f t="shared" si="1"/>
        <v>0</v>
      </c>
      <c r="M46" s="513"/>
      <c r="N46" s="505">
        <f t="shared" si="2"/>
        <v>0</v>
      </c>
      <c r="O46" s="505">
        <f t="shared" si="3"/>
        <v>0</v>
      </c>
      <c r="P46" s="279"/>
      <c r="R46" s="244"/>
      <c r="S46" s="244"/>
      <c r="T46" s="244"/>
      <c r="U46" s="244"/>
    </row>
    <row r="47" spans="2:21" ht="12.5">
      <c r="B47" s="145" t="str">
        <f t="shared" si="0"/>
        <v/>
      </c>
      <c r="C47" s="496">
        <f t="shared" si="9"/>
        <v>2042</v>
      </c>
      <c r="D47" s="509"/>
      <c r="E47" s="510">
        <f t="shared" si="10"/>
        <v>0</v>
      </c>
      <c r="F47" s="511">
        <f t="shared" si="5"/>
        <v>0</v>
      </c>
      <c r="G47" s="512">
        <f t="shared" si="6"/>
        <v>0</v>
      </c>
      <c r="H47" s="478">
        <f t="shared" si="7"/>
        <v>0</v>
      </c>
      <c r="I47" s="501">
        <f t="shared" si="8"/>
        <v>0</v>
      </c>
      <c r="J47" s="501"/>
      <c r="K47" s="513"/>
      <c r="L47" s="505">
        <f t="shared" si="1"/>
        <v>0</v>
      </c>
      <c r="M47" s="513"/>
      <c r="N47" s="505">
        <f t="shared" si="2"/>
        <v>0</v>
      </c>
      <c r="O47" s="505">
        <f t="shared" si="3"/>
        <v>0</v>
      </c>
      <c r="P47" s="279"/>
      <c r="R47" s="244"/>
      <c r="S47" s="244"/>
      <c r="T47" s="244"/>
      <c r="U47" s="244"/>
    </row>
    <row r="48" spans="2:21" ht="12.5">
      <c r="B48" s="145" t="str">
        <f t="shared" si="0"/>
        <v/>
      </c>
      <c r="C48" s="496">
        <f t="shared" si="9"/>
        <v>2043</v>
      </c>
      <c r="D48" s="509"/>
      <c r="E48" s="510">
        <f t="shared" si="10"/>
        <v>0</v>
      </c>
      <c r="F48" s="511">
        <f t="shared" si="5"/>
        <v>0</v>
      </c>
      <c r="G48" s="512">
        <f t="shared" si="6"/>
        <v>0</v>
      </c>
      <c r="H48" s="478">
        <f t="shared" si="7"/>
        <v>0</v>
      </c>
      <c r="I48" s="501">
        <f t="shared" si="8"/>
        <v>0</v>
      </c>
      <c r="J48" s="501"/>
      <c r="K48" s="513"/>
      <c r="L48" s="505">
        <f t="shared" si="1"/>
        <v>0</v>
      </c>
      <c r="M48" s="513"/>
      <c r="N48" s="505">
        <f t="shared" si="2"/>
        <v>0</v>
      </c>
      <c r="O48" s="505">
        <f t="shared" si="3"/>
        <v>0</v>
      </c>
      <c r="P48" s="279"/>
      <c r="R48" s="244"/>
      <c r="S48" s="244"/>
      <c r="T48" s="244"/>
      <c r="U48" s="244"/>
    </row>
    <row r="49" spans="2:21" ht="12.5">
      <c r="B49" s="145" t="str">
        <f t="shared" si="0"/>
        <v/>
      </c>
      <c r="C49" s="496">
        <f t="shared" si="9"/>
        <v>2044</v>
      </c>
      <c r="D49" s="509"/>
      <c r="E49" s="510">
        <f t="shared" si="10"/>
        <v>0</v>
      </c>
      <c r="F49" s="511">
        <f t="shared" si="5"/>
        <v>0</v>
      </c>
      <c r="G49" s="512">
        <f t="shared" si="6"/>
        <v>0</v>
      </c>
      <c r="H49" s="478">
        <f t="shared" si="7"/>
        <v>0</v>
      </c>
      <c r="I49" s="501">
        <f t="shared" si="8"/>
        <v>0</v>
      </c>
      <c r="J49" s="501"/>
      <c r="K49" s="513"/>
      <c r="L49" s="505">
        <f t="shared" si="1"/>
        <v>0</v>
      </c>
      <c r="M49" s="513"/>
      <c r="N49" s="505">
        <f t="shared" si="2"/>
        <v>0</v>
      </c>
      <c r="O49" s="505">
        <f t="shared" si="3"/>
        <v>0</v>
      </c>
      <c r="P49" s="279"/>
      <c r="R49" s="244"/>
      <c r="S49" s="244"/>
      <c r="T49" s="244"/>
      <c r="U49" s="244"/>
    </row>
    <row r="50" spans="2:21" ht="12.5">
      <c r="B50" s="145" t="str">
        <f t="shared" ref="B50:B73" si="11">IF(D50=F49,"","IU")</f>
        <v/>
      </c>
      <c r="C50" s="496">
        <f t="shared" si="9"/>
        <v>2045</v>
      </c>
      <c r="D50" s="509"/>
      <c r="E50" s="510">
        <f t="shared" si="10"/>
        <v>0</v>
      </c>
      <c r="F50" s="511">
        <f t="shared" ref="F50:F73" si="12">+D50-E50</f>
        <v>0</v>
      </c>
      <c r="G50" s="512">
        <f t="shared" si="6"/>
        <v>0</v>
      </c>
      <c r="H50" s="478">
        <f t="shared" si="7"/>
        <v>0</v>
      </c>
      <c r="I50" s="501">
        <f t="shared" ref="I50:I73" si="13">H50-G50</f>
        <v>0</v>
      </c>
      <c r="J50" s="501"/>
      <c r="K50" s="513"/>
      <c r="L50" s="505">
        <f t="shared" ref="L50:L73" si="14">IF(K50&lt;&gt;0,+G50-K50,0)</f>
        <v>0</v>
      </c>
      <c r="M50" s="513"/>
      <c r="N50" s="505">
        <f t="shared" ref="N50:N73" si="15">IF(M50&lt;&gt;0,+H50-M50,0)</f>
        <v>0</v>
      </c>
      <c r="O50" s="505">
        <f t="shared" ref="O50:O73" si="16">+N50-L50</f>
        <v>0</v>
      </c>
      <c r="P50" s="279"/>
      <c r="R50" s="244"/>
      <c r="S50" s="244"/>
      <c r="T50" s="244"/>
      <c r="U50" s="244"/>
    </row>
    <row r="51" spans="2:21" ht="12.5">
      <c r="B51" s="145" t="str">
        <f t="shared" si="11"/>
        <v/>
      </c>
      <c r="C51" s="496">
        <f t="shared" si="9"/>
        <v>2046</v>
      </c>
      <c r="D51" s="509"/>
      <c r="E51" s="510">
        <f t="shared" si="10"/>
        <v>0</v>
      </c>
      <c r="F51" s="511">
        <f t="shared" si="12"/>
        <v>0</v>
      </c>
      <c r="G51" s="512">
        <f t="shared" si="6"/>
        <v>0</v>
      </c>
      <c r="H51" s="478">
        <f t="shared" si="7"/>
        <v>0</v>
      </c>
      <c r="I51" s="501">
        <f t="shared" si="13"/>
        <v>0</v>
      </c>
      <c r="J51" s="501"/>
      <c r="K51" s="513"/>
      <c r="L51" s="505">
        <f t="shared" si="14"/>
        <v>0</v>
      </c>
      <c r="M51" s="513"/>
      <c r="N51" s="505">
        <f t="shared" si="15"/>
        <v>0</v>
      </c>
      <c r="O51" s="505">
        <f t="shared" si="16"/>
        <v>0</v>
      </c>
      <c r="P51" s="279"/>
      <c r="R51" s="244"/>
      <c r="S51" s="244"/>
      <c r="T51" s="244"/>
      <c r="U51" s="244"/>
    </row>
    <row r="52" spans="2:21" ht="12.5">
      <c r="B52" s="145" t="str">
        <f t="shared" si="11"/>
        <v/>
      </c>
      <c r="C52" s="496">
        <f t="shared" si="9"/>
        <v>2047</v>
      </c>
      <c r="D52" s="509"/>
      <c r="E52" s="510">
        <f t="shared" si="10"/>
        <v>0</v>
      </c>
      <c r="F52" s="511">
        <f t="shared" si="12"/>
        <v>0</v>
      </c>
      <c r="G52" s="512">
        <f t="shared" si="6"/>
        <v>0</v>
      </c>
      <c r="H52" s="478">
        <f t="shared" si="7"/>
        <v>0</v>
      </c>
      <c r="I52" s="501">
        <f t="shared" si="13"/>
        <v>0</v>
      </c>
      <c r="J52" s="501"/>
      <c r="K52" s="513"/>
      <c r="L52" s="505">
        <f t="shared" si="14"/>
        <v>0</v>
      </c>
      <c r="M52" s="513"/>
      <c r="N52" s="505">
        <f t="shared" si="15"/>
        <v>0</v>
      </c>
      <c r="O52" s="505">
        <f t="shared" si="16"/>
        <v>0</v>
      </c>
      <c r="P52" s="279"/>
      <c r="R52" s="244"/>
      <c r="S52" s="244"/>
      <c r="T52" s="244"/>
      <c r="U52" s="244"/>
    </row>
    <row r="53" spans="2:21" ht="12.5">
      <c r="B53" s="145" t="str">
        <f t="shared" si="11"/>
        <v/>
      </c>
      <c r="C53" s="496">
        <f t="shared" si="9"/>
        <v>2048</v>
      </c>
      <c r="D53" s="509"/>
      <c r="E53" s="510">
        <f t="shared" si="10"/>
        <v>0</v>
      </c>
      <c r="F53" s="511">
        <f t="shared" si="12"/>
        <v>0</v>
      </c>
      <c r="G53" s="512">
        <f t="shared" si="6"/>
        <v>0</v>
      </c>
      <c r="H53" s="478">
        <f t="shared" si="7"/>
        <v>0</v>
      </c>
      <c r="I53" s="501">
        <f t="shared" si="13"/>
        <v>0</v>
      </c>
      <c r="J53" s="501"/>
      <c r="K53" s="513"/>
      <c r="L53" s="505">
        <f t="shared" si="14"/>
        <v>0</v>
      </c>
      <c r="M53" s="513"/>
      <c r="N53" s="505">
        <f t="shared" si="15"/>
        <v>0</v>
      </c>
      <c r="O53" s="505">
        <f t="shared" si="16"/>
        <v>0</v>
      </c>
      <c r="P53" s="279"/>
      <c r="R53" s="244"/>
      <c r="S53" s="244"/>
      <c r="T53" s="244"/>
      <c r="U53" s="244"/>
    </row>
    <row r="54" spans="2:21" ht="12.5">
      <c r="B54" s="145" t="str">
        <f t="shared" si="11"/>
        <v/>
      </c>
      <c r="C54" s="496">
        <f t="shared" si="9"/>
        <v>2049</v>
      </c>
      <c r="D54" s="509"/>
      <c r="E54" s="510">
        <f t="shared" si="10"/>
        <v>0</v>
      </c>
      <c r="F54" s="511">
        <f t="shared" si="12"/>
        <v>0</v>
      </c>
      <c r="G54" s="512">
        <f t="shared" si="6"/>
        <v>0</v>
      </c>
      <c r="H54" s="478">
        <f t="shared" si="7"/>
        <v>0</v>
      </c>
      <c r="I54" s="501">
        <f t="shared" si="13"/>
        <v>0</v>
      </c>
      <c r="J54" s="501"/>
      <c r="K54" s="513"/>
      <c r="L54" s="505">
        <f t="shared" si="14"/>
        <v>0</v>
      </c>
      <c r="M54" s="513"/>
      <c r="N54" s="505">
        <f t="shared" si="15"/>
        <v>0</v>
      </c>
      <c r="O54" s="505">
        <f t="shared" si="16"/>
        <v>0</v>
      </c>
      <c r="P54" s="279"/>
      <c r="R54" s="244"/>
      <c r="S54" s="244"/>
      <c r="T54" s="244"/>
      <c r="U54" s="244"/>
    </row>
    <row r="55" spans="2:21" ht="12.5">
      <c r="B55" s="145" t="str">
        <f t="shared" si="11"/>
        <v/>
      </c>
      <c r="C55" s="496">
        <f t="shared" si="9"/>
        <v>2050</v>
      </c>
      <c r="D55" s="509"/>
      <c r="E55" s="510">
        <f t="shared" si="10"/>
        <v>0</v>
      </c>
      <c r="F55" s="511">
        <f t="shared" si="12"/>
        <v>0</v>
      </c>
      <c r="G55" s="512">
        <f t="shared" si="6"/>
        <v>0</v>
      </c>
      <c r="H55" s="478">
        <f t="shared" si="7"/>
        <v>0</v>
      </c>
      <c r="I55" s="501">
        <f t="shared" si="13"/>
        <v>0</v>
      </c>
      <c r="J55" s="501"/>
      <c r="K55" s="513"/>
      <c r="L55" s="505">
        <f t="shared" si="14"/>
        <v>0</v>
      </c>
      <c r="M55" s="513"/>
      <c r="N55" s="505">
        <f t="shared" si="15"/>
        <v>0</v>
      </c>
      <c r="O55" s="505">
        <f t="shared" si="16"/>
        <v>0</v>
      </c>
      <c r="P55" s="279"/>
      <c r="R55" s="244"/>
      <c r="S55" s="244"/>
      <c r="T55" s="244"/>
      <c r="U55" s="244"/>
    </row>
    <row r="56" spans="2:21" ht="12.5">
      <c r="B56" s="145" t="str">
        <f t="shared" si="11"/>
        <v/>
      </c>
      <c r="C56" s="496">
        <f t="shared" si="9"/>
        <v>2051</v>
      </c>
      <c r="D56" s="509"/>
      <c r="E56" s="510">
        <f t="shared" si="10"/>
        <v>0</v>
      </c>
      <c r="F56" s="511">
        <f t="shared" si="12"/>
        <v>0</v>
      </c>
      <c r="G56" s="512">
        <f t="shared" si="6"/>
        <v>0</v>
      </c>
      <c r="H56" s="478">
        <f t="shared" si="7"/>
        <v>0</v>
      </c>
      <c r="I56" s="501">
        <f t="shared" si="13"/>
        <v>0</v>
      </c>
      <c r="J56" s="501"/>
      <c r="K56" s="513"/>
      <c r="L56" s="505">
        <f t="shared" si="14"/>
        <v>0</v>
      </c>
      <c r="M56" s="513"/>
      <c r="N56" s="505">
        <f t="shared" si="15"/>
        <v>0</v>
      </c>
      <c r="O56" s="505">
        <f t="shared" si="16"/>
        <v>0</v>
      </c>
      <c r="P56" s="279"/>
      <c r="R56" s="244"/>
      <c r="S56" s="244"/>
      <c r="T56" s="244"/>
      <c r="U56" s="244"/>
    </row>
    <row r="57" spans="2:21" ht="12.5">
      <c r="B57" s="145" t="str">
        <f t="shared" si="11"/>
        <v/>
      </c>
      <c r="C57" s="496">
        <f t="shared" si="9"/>
        <v>2052</v>
      </c>
      <c r="D57" s="509"/>
      <c r="E57" s="510">
        <f t="shared" si="10"/>
        <v>0</v>
      </c>
      <c r="F57" s="511">
        <f t="shared" si="12"/>
        <v>0</v>
      </c>
      <c r="G57" s="512">
        <f t="shared" si="6"/>
        <v>0</v>
      </c>
      <c r="H57" s="478">
        <f t="shared" si="7"/>
        <v>0</v>
      </c>
      <c r="I57" s="501">
        <f t="shared" si="13"/>
        <v>0</v>
      </c>
      <c r="J57" s="501"/>
      <c r="K57" s="513"/>
      <c r="L57" s="505">
        <f t="shared" si="14"/>
        <v>0</v>
      </c>
      <c r="M57" s="513"/>
      <c r="N57" s="505">
        <f t="shared" si="15"/>
        <v>0</v>
      </c>
      <c r="O57" s="505">
        <f t="shared" si="16"/>
        <v>0</v>
      </c>
      <c r="P57" s="279"/>
      <c r="R57" s="244"/>
      <c r="S57" s="244"/>
      <c r="T57" s="244"/>
      <c r="U57" s="244"/>
    </row>
    <row r="58" spans="2:21" ht="12.5">
      <c r="B58" s="145" t="str">
        <f t="shared" si="11"/>
        <v/>
      </c>
      <c r="C58" s="496">
        <f t="shared" si="9"/>
        <v>2053</v>
      </c>
      <c r="D58" s="509"/>
      <c r="E58" s="510">
        <f t="shared" si="10"/>
        <v>0</v>
      </c>
      <c r="F58" s="511">
        <f t="shared" si="12"/>
        <v>0</v>
      </c>
      <c r="G58" s="512">
        <f t="shared" si="6"/>
        <v>0</v>
      </c>
      <c r="H58" s="478">
        <f t="shared" si="7"/>
        <v>0</v>
      </c>
      <c r="I58" s="501">
        <f t="shared" si="13"/>
        <v>0</v>
      </c>
      <c r="J58" s="501"/>
      <c r="K58" s="513"/>
      <c r="L58" s="505">
        <f t="shared" si="14"/>
        <v>0</v>
      </c>
      <c r="M58" s="513"/>
      <c r="N58" s="505">
        <f t="shared" si="15"/>
        <v>0</v>
      </c>
      <c r="O58" s="505">
        <f t="shared" si="16"/>
        <v>0</v>
      </c>
      <c r="P58" s="279"/>
      <c r="R58" s="244"/>
      <c r="S58" s="244"/>
      <c r="T58" s="244"/>
      <c r="U58" s="244"/>
    </row>
    <row r="59" spans="2:21" ht="12.5">
      <c r="B59" s="145" t="str">
        <f t="shared" si="11"/>
        <v/>
      </c>
      <c r="C59" s="496">
        <f t="shared" si="9"/>
        <v>2054</v>
      </c>
      <c r="D59" s="509"/>
      <c r="E59" s="510">
        <f t="shared" si="10"/>
        <v>0</v>
      </c>
      <c r="F59" s="511">
        <f t="shared" si="12"/>
        <v>0</v>
      </c>
      <c r="G59" s="512">
        <f t="shared" si="6"/>
        <v>0</v>
      </c>
      <c r="H59" s="478">
        <f t="shared" si="7"/>
        <v>0</v>
      </c>
      <c r="I59" s="501">
        <f t="shared" si="13"/>
        <v>0</v>
      </c>
      <c r="J59" s="501"/>
      <c r="K59" s="513"/>
      <c r="L59" s="505">
        <f t="shared" si="14"/>
        <v>0</v>
      </c>
      <c r="M59" s="513"/>
      <c r="N59" s="505">
        <f t="shared" si="15"/>
        <v>0</v>
      </c>
      <c r="O59" s="505">
        <f t="shared" si="16"/>
        <v>0</v>
      </c>
      <c r="P59" s="279"/>
      <c r="R59" s="244"/>
      <c r="S59" s="244"/>
      <c r="T59" s="244"/>
      <c r="U59" s="244"/>
    </row>
    <row r="60" spans="2:21" ht="12.5">
      <c r="B60" s="145" t="str">
        <f t="shared" si="11"/>
        <v/>
      </c>
      <c r="C60" s="496">
        <f t="shared" si="9"/>
        <v>2055</v>
      </c>
      <c r="D60" s="509"/>
      <c r="E60" s="510">
        <f t="shared" si="10"/>
        <v>0</v>
      </c>
      <c r="F60" s="511">
        <f t="shared" si="12"/>
        <v>0</v>
      </c>
      <c r="G60" s="512">
        <f t="shared" si="6"/>
        <v>0</v>
      </c>
      <c r="H60" s="478">
        <f t="shared" si="7"/>
        <v>0</v>
      </c>
      <c r="I60" s="501">
        <f t="shared" si="13"/>
        <v>0</v>
      </c>
      <c r="J60" s="501"/>
      <c r="K60" s="513"/>
      <c r="L60" s="505">
        <f t="shared" si="14"/>
        <v>0</v>
      </c>
      <c r="M60" s="513"/>
      <c r="N60" s="505">
        <f t="shared" si="15"/>
        <v>0</v>
      </c>
      <c r="O60" s="505">
        <f t="shared" si="16"/>
        <v>0</v>
      </c>
      <c r="P60" s="279"/>
      <c r="R60" s="244"/>
      <c r="S60" s="244"/>
      <c r="T60" s="244"/>
      <c r="U60" s="244"/>
    </row>
    <row r="61" spans="2:21" ht="12.5">
      <c r="B61" s="145" t="str">
        <f t="shared" si="11"/>
        <v/>
      </c>
      <c r="C61" s="496">
        <f t="shared" si="9"/>
        <v>2056</v>
      </c>
      <c r="D61" s="509"/>
      <c r="E61" s="510">
        <f t="shared" si="10"/>
        <v>0</v>
      </c>
      <c r="F61" s="511">
        <f t="shared" si="12"/>
        <v>0</v>
      </c>
      <c r="G61" s="512">
        <f t="shared" si="6"/>
        <v>0</v>
      </c>
      <c r="H61" s="478">
        <f t="shared" si="7"/>
        <v>0</v>
      </c>
      <c r="I61" s="501">
        <f t="shared" si="13"/>
        <v>0</v>
      </c>
      <c r="J61" s="501"/>
      <c r="K61" s="513"/>
      <c r="L61" s="505">
        <f t="shared" si="14"/>
        <v>0</v>
      </c>
      <c r="M61" s="513"/>
      <c r="N61" s="505">
        <f t="shared" si="15"/>
        <v>0</v>
      </c>
      <c r="O61" s="505">
        <f t="shared" si="16"/>
        <v>0</v>
      </c>
      <c r="P61" s="279"/>
      <c r="R61" s="244"/>
      <c r="S61" s="244"/>
      <c r="T61" s="244"/>
      <c r="U61" s="244"/>
    </row>
    <row r="62" spans="2:21" ht="12.5">
      <c r="B62" s="145" t="str">
        <f t="shared" si="11"/>
        <v/>
      </c>
      <c r="C62" s="496">
        <f t="shared" si="9"/>
        <v>2057</v>
      </c>
      <c r="D62" s="509"/>
      <c r="E62" s="510">
        <f t="shared" si="10"/>
        <v>0</v>
      </c>
      <c r="F62" s="511">
        <f t="shared" si="12"/>
        <v>0</v>
      </c>
      <c r="G62" s="524">
        <f t="shared" si="6"/>
        <v>0</v>
      </c>
      <c r="H62" s="478">
        <f t="shared" si="7"/>
        <v>0</v>
      </c>
      <c r="I62" s="501">
        <f t="shared" si="13"/>
        <v>0</v>
      </c>
      <c r="J62" s="501"/>
      <c r="K62" s="513"/>
      <c r="L62" s="505">
        <f t="shared" si="14"/>
        <v>0</v>
      </c>
      <c r="M62" s="513"/>
      <c r="N62" s="505">
        <f t="shared" si="15"/>
        <v>0</v>
      </c>
      <c r="O62" s="505">
        <f t="shared" si="16"/>
        <v>0</v>
      </c>
      <c r="P62" s="279"/>
      <c r="R62" s="244"/>
      <c r="S62" s="244"/>
      <c r="T62" s="244"/>
      <c r="U62" s="244"/>
    </row>
    <row r="63" spans="2:21" ht="12.5">
      <c r="B63" s="145" t="str">
        <f t="shared" si="11"/>
        <v/>
      </c>
      <c r="C63" s="496">
        <f t="shared" si="9"/>
        <v>2058</v>
      </c>
      <c r="D63" s="509"/>
      <c r="E63" s="510">
        <f t="shared" si="10"/>
        <v>0</v>
      </c>
      <c r="F63" s="511">
        <f t="shared" si="12"/>
        <v>0</v>
      </c>
      <c r="G63" s="524">
        <f t="shared" si="6"/>
        <v>0</v>
      </c>
      <c r="H63" s="478">
        <f t="shared" si="7"/>
        <v>0</v>
      </c>
      <c r="I63" s="501">
        <f t="shared" si="13"/>
        <v>0</v>
      </c>
      <c r="J63" s="501"/>
      <c r="K63" s="513"/>
      <c r="L63" s="505">
        <f t="shared" si="14"/>
        <v>0</v>
      </c>
      <c r="M63" s="513"/>
      <c r="N63" s="505">
        <f t="shared" si="15"/>
        <v>0</v>
      </c>
      <c r="O63" s="505">
        <f t="shared" si="16"/>
        <v>0</v>
      </c>
      <c r="P63" s="279"/>
      <c r="R63" s="244"/>
      <c r="S63" s="244"/>
      <c r="T63" s="244"/>
      <c r="U63" s="244"/>
    </row>
    <row r="64" spans="2:21" ht="12.5">
      <c r="B64" s="145" t="str">
        <f t="shared" si="11"/>
        <v/>
      </c>
      <c r="C64" s="496">
        <f t="shared" si="9"/>
        <v>2059</v>
      </c>
      <c r="D64" s="509"/>
      <c r="E64" s="510">
        <f t="shared" si="10"/>
        <v>0</v>
      </c>
      <c r="F64" s="511">
        <f t="shared" si="12"/>
        <v>0</v>
      </c>
      <c r="G64" s="524">
        <f t="shared" si="6"/>
        <v>0</v>
      </c>
      <c r="H64" s="478">
        <f t="shared" si="7"/>
        <v>0</v>
      </c>
      <c r="I64" s="501">
        <f t="shared" si="13"/>
        <v>0</v>
      </c>
      <c r="J64" s="501"/>
      <c r="K64" s="513"/>
      <c r="L64" s="505">
        <f t="shared" si="14"/>
        <v>0</v>
      </c>
      <c r="M64" s="513"/>
      <c r="N64" s="505">
        <f t="shared" si="15"/>
        <v>0</v>
      </c>
      <c r="O64" s="505">
        <f t="shared" si="16"/>
        <v>0</v>
      </c>
      <c r="P64" s="279"/>
      <c r="R64" s="244"/>
      <c r="S64" s="244"/>
      <c r="T64" s="244"/>
      <c r="U64" s="244"/>
    </row>
    <row r="65" spans="2:21" ht="12.5">
      <c r="B65" s="145" t="str">
        <f t="shared" si="11"/>
        <v/>
      </c>
      <c r="C65" s="496">
        <f t="shared" si="9"/>
        <v>2060</v>
      </c>
      <c r="D65" s="509"/>
      <c r="E65" s="510">
        <f t="shared" si="10"/>
        <v>0</v>
      </c>
      <c r="F65" s="511">
        <f t="shared" si="12"/>
        <v>0</v>
      </c>
      <c r="G65" s="524">
        <f t="shared" si="6"/>
        <v>0</v>
      </c>
      <c r="H65" s="478">
        <f t="shared" si="7"/>
        <v>0</v>
      </c>
      <c r="I65" s="501">
        <f t="shared" si="13"/>
        <v>0</v>
      </c>
      <c r="J65" s="501"/>
      <c r="K65" s="513"/>
      <c r="L65" s="505">
        <f t="shared" si="14"/>
        <v>0</v>
      </c>
      <c r="M65" s="513"/>
      <c r="N65" s="505">
        <f t="shared" si="15"/>
        <v>0</v>
      </c>
      <c r="O65" s="505">
        <f t="shared" si="16"/>
        <v>0</v>
      </c>
      <c r="P65" s="279"/>
      <c r="R65" s="244"/>
      <c r="S65" s="244"/>
      <c r="T65" s="244"/>
      <c r="U65" s="244"/>
    </row>
    <row r="66" spans="2:21" ht="12.5">
      <c r="B66" s="145" t="str">
        <f t="shared" si="11"/>
        <v/>
      </c>
      <c r="C66" s="496">
        <f t="shared" si="9"/>
        <v>2061</v>
      </c>
      <c r="D66" s="509"/>
      <c r="E66" s="510">
        <f t="shared" si="10"/>
        <v>0</v>
      </c>
      <c r="F66" s="511">
        <f t="shared" si="12"/>
        <v>0</v>
      </c>
      <c r="G66" s="524">
        <f t="shared" si="6"/>
        <v>0</v>
      </c>
      <c r="H66" s="478">
        <f t="shared" si="7"/>
        <v>0</v>
      </c>
      <c r="I66" s="501">
        <f t="shared" si="13"/>
        <v>0</v>
      </c>
      <c r="J66" s="501"/>
      <c r="K66" s="513"/>
      <c r="L66" s="505">
        <f t="shared" si="14"/>
        <v>0</v>
      </c>
      <c r="M66" s="513"/>
      <c r="N66" s="505">
        <f t="shared" si="15"/>
        <v>0</v>
      </c>
      <c r="O66" s="505">
        <f t="shared" si="16"/>
        <v>0</v>
      </c>
      <c r="P66" s="279"/>
      <c r="R66" s="244"/>
      <c r="S66" s="244"/>
      <c r="T66" s="244"/>
      <c r="U66" s="244"/>
    </row>
    <row r="67" spans="2:21" ht="12.5">
      <c r="B67" s="145" t="str">
        <f t="shared" si="11"/>
        <v/>
      </c>
      <c r="C67" s="496">
        <f t="shared" si="9"/>
        <v>2062</v>
      </c>
      <c r="D67" s="509"/>
      <c r="E67" s="510">
        <f t="shared" si="10"/>
        <v>0</v>
      </c>
      <c r="F67" s="511">
        <f t="shared" si="12"/>
        <v>0</v>
      </c>
      <c r="G67" s="524">
        <f t="shared" si="6"/>
        <v>0</v>
      </c>
      <c r="H67" s="478">
        <f t="shared" si="7"/>
        <v>0</v>
      </c>
      <c r="I67" s="501">
        <f t="shared" si="13"/>
        <v>0</v>
      </c>
      <c r="J67" s="501"/>
      <c r="K67" s="513"/>
      <c r="L67" s="505">
        <f t="shared" si="14"/>
        <v>0</v>
      </c>
      <c r="M67" s="513"/>
      <c r="N67" s="505">
        <f t="shared" si="15"/>
        <v>0</v>
      </c>
      <c r="O67" s="505">
        <f t="shared" si="16"/>
        <v>0</v>
      </c>
      <c r="P67" s="279"/>
      <c r="R67" s="244"/>
      <c r="S67" s="244"/>
      <c r="T67" s="244"/>
      <c r="U67" s="244"/>
    </row>
    <row r="68" spans="2:21" ht="12.5">
      <c r="B68" s="145" t="str">
        <f t="shared" si="11"/>
        <v/>
      </c>
      <c r="C68" s="496">
        <f t="shared" si="9"/>
        <v>2063</v>
      </c>
      <c r="D68" s="509"/>
      <c r="E68" s="510">
        <f t="shared" si="10"/>
        <v>0</v>
      </c>
      <c r="F68" s="511">
        <f t="shared" si="12"/>
        <v>0</v>
      </c>
      <c r="G68" s="524">
        <f t="shared" si="6"/>
        <v>0</v>
      </c>
      <c r="H68" s="478">
        <f t="shared" si="7"/>
        <v>0</v>
      </c>
      <c r="I68" s="501">
        <f t="shared" si="13"/>
        <v>0</v>
      </c>
      <c r="J68" s="501"/>
      <c r="K68" s="513"/>
      <c r="L68" s="505">
        <f t="shared" si="14"/>
        <v>0</v>
      </c>
      <c r="M68" s="513"/>
      <c r="N68" s="505">
        <f t="shared" si="15"/>
        <v>0</v>
      </c>
      <c r="O68" s="505">
        <f t="shared" si="16"/>
        <v>0</v>
      </c>
      <c r="P68" s="279"/>
      <c r="R68" s="244"/>
      <c r="S68" s="244"/>
      <c r="T68" s="244"/>
      <c r="U68" s="244"/>
    </row>
    <row r="69" spans="2:21" ht="12.5">
      <c r="B69" s="145" t="str">
        <f t="shared" si="11"/>
        <v/>
      </c>
      <c r="C69" s="496">
        <f t="shared" si="9"/>
        <v>2064</v>
      </c>
      <c r="D69" s="509"/>
      <c r="E69" s="510">
        <f t="shared" si="10"/>
        <v>0</v>
      </c>
      <c r="F69" s="511">
        <f t="shared" si="12"/>
        <v>0</v>
      </c>
      <c r="G69" s="524">
        <f t="shared" si="6"/>
        <v>0</v>
      </c>
      <c r="H69" s="478">
        <f t="shared" si="7"/>
        <v>0</v>
      </c>
      <c r="I69" s="501">
        <f t="shared" si="13"/>
        <v>0</v>
      </c>
      <c r="J69" s="501"/>
      <c r="K69" s="513"/>
      <c r="L69" s="505">
        <f t="shared" si="14"/>
        <v>0</v>
      </c>
      <c r="M69" s="513"/>
      <c r="N69" s="505">
        <f t="shared" si="15"/>
        <v>0</v>
      </c>
      <c r="O69" s="505">
        <f t="shared" si="16"/>
        <v>0</v>
      </c>
      <c r="P69" s="279"/>
      <c r="R69" s="244"/>
      <c r="S69" s="244"/>
      <c r="T69" s="244"/>
      <c r="U69" s="244"/>
    </row>
    <row r="70" spans="2:21" ht="12.5">
      <c r="B70" s="145" t="str">
        <f t="shared" si="11"/>
        <v/>
      </c>
      <c r="C70" s="496">
        <f t="shared" si="9"/>
        <v>2065</v>
      </c>
      <c r="D70" s="509"/>
      <c r="E70" s="510">
        <f t="shared" si="10"/>
        <v>0</v>
      </c>
      <c r="F70" s="511">
        <f t="shared" si="12"/>
        <v>0</v>
      </c>
      <c r="G70" s="524">
        <f t="shared" si="6"/>
        <v>0</v>
      </c>
      <c r="H70" s="478">
        <f t="shared" si="7"/>
        <v>0</v>
      </c>
      <c r="I70" s="501">
        <f t="shared" si="13"/>
        <v>0</v>
      </c>
      <c r="J70" s="501"/>
      <c r="K70" s="513"/>
      <c r="L70" s="505">
        <f t="shared" si="14"/>
        <v>0</v>
      </c>
      <c r="M70" s="513"/>
      <c r="N70" s="505">
        <f t="shared" si="15"/>
        <v>0</v>
      </c>
      <c r="O70" s="505">
        <f t="shared" si="16"/>
        <v>0</v>
      </c>
      <c r="P70" s="279"/>
      <c r="R70" s="244"/>
      <c r="S70" s="244"/>
      <c r="T70" s="244"/>
      <c r="U70" s="244"/>
    </row>
    <row r="71" spans="2:21" ht="12.5">
      <c r="B71" s="145" t="str">
        <f t="shared" si="11"/>
        <v/>
      </c>
      <c r="C71" s="496">
        <f t="shared" si="9"/>
        <v>2066</v>
      </c>
      <c r="D71" s="509"/>
      <c r="E71" s="510">
        <f t="shared" si="10"/>
        <v>0</v>
      </c>
      <c r="F71" s="511">
        <f t="shared" si="12"/>
        <v>0</v>
      </c>
      <c r="G71" s="524">
        <f t="shared" si="6"/>
        <v>0</v>
      </c>
      <c r="H71" s="478">
        <f t="shared" si="7"/>
        <v>0</v>
      </c>
      <c r="I71" s="501">
        <f t="shared" si="13"/>
        <v>0</v>
      </c>
      <c r="J71" s="501"/>
      <c r="K71" s="513"/>
      <c r="L71" s="505">
        <f t="shared" si="14"/>
        <v>0</v>
      </c>
      <c r="M71" s="513"/>
      <c r="N71" s="505">
        <f t="shared" si="15"/>
        <v>0</v>
      </c>
      <c r="O71" s="505">
        <f t="shared" si="16"/>
        <v>0</v>
      </c>
      <c r="P71" s="279"/>
      <c r="R71" s="244"/>
      <c r="S71" s="244"/>
      <c r="T71" s="244"/>
      <c r="U71" s="244"/>
    </row>
    <row r="72" spans="2:21" ht="12.5">
      <c r="B72" s="145" t="str">
        <f t="shared" si="11"/>
        <v/>
      </c>
      <c r="C72" s="496">
        <f t="shared" si="9"/>
        <v>2067</v>
      </c>
      <c r="D72" s="509"/>
      <c r="E72" s="510">
        <f t="shared" si="10"/>
        <v>0</v>
      </c>
      <c r="F72" s="511">
        <f t="shared" si="12"/>
        <v>0</v>
      </c>
      <c r="G72" s="524">
        <f t="shared" si="6"/>
        <v>0</v>
      </c>
      <c r="H72" s="478">
        <f t="shared" si="7"/>
        <v>0</v>
      </c>
      <c r="I72" s="501">
        <f t="shared" si="13"/>
        <v>0</v>
      </c>
      <c r="J72" s="501"/>
      <c r="K72" s="513"/>
      <c r="L72" s="505">
        <f t="shared" si="14"/>
        <v>0</v>
      </c>
      <c r="M72" s="513"/>
      <c r="N72" s="505">
        <f t="shared" si="15"/>
        <v>0</v>
      </c>
      <c r="O72" s="505">
        <f t="shared" si="16"/>
        <v>0</v>
      </c>
      <c r="P72" s="279"/>
      <c r="R72" s="244"/>
      <c r="S72" s="244"/>
      <c r="T72" s="244"/>
      <c r="U72" s="244"/>
    </row>
    <row r="73" spans="2:21" ht="13" thickBot="1">
      <c r="B73" s="145" t="str">
        <f t="shared" si="11"/>
        <v/>
      </c>
      <c r="C73" s="525">
        <f t="shared" si="9"/>
        <v>2068</v>
      </c>
      <c r="D73" s="526"/>
      <c r="E73" s="527">
        <f t="shared" si="10"/>
        <v>0</v>
      </c>
      <c r="F73" s="528">
        <f t="shared" si="12"/>
        <v>0</v>
      </c>
      <c r="G73" s="529">
        <f t="shared" si="6"/>
        <v>0</v>
      </c>
      <c r="H73" s="459">
        <f t="shared" si="7"/>
        <v>0</v>
      </c>
      <c r="I73" s="530">
        <f t="shared" si="13"/>
        <v>0</v>
      </c>
      <c r="J73" s="501"/>
      <c r="K73" s="531"/>
      <c r="L73" s="532">
        <f t="shared" si="14"/>
        <v>0</v>
      </c>
      <c r="M73" s="531"/>
      <c r="N73" s="532">
        <f t="shared" si="15"/>
        <v>0</v>
      </c>
      <c r="O73" s="532">
        <f t="shared" si="16"/>
        <v>0</v>
      </c>
      <c r="P73" s="279"/>
      <c r="R73" s="244"/>
      <c r="S73" s="244"/>
      <c r="T73" s="244"/>
      <c r="U73" s="244"/>
    </row>
    <row r="74" spans="2:21" ht="12.5">
      <c r="C74" s="350" t="s">
        <v>75</v>
      </c>
      <c r="D74" s="295"/>
      <c r="E74" s="295">
        <f>SUM(E17:E73)</f>
        <v>45573.039110189922</v>
      </c>
      <c r="F74" s="295"/>
      <c r="G74" s="295">
        <f>SUM(G17:G73)</f>
        <v>423078.95453720703</v>
      </c>
      <c r="H74" s="295">
        <f>SUM(H17:H73)</f>
        <v>423078.95453720703</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534" t="str">
        <f ca="1">P1</f>
        <v>OKT Project 5 of 19</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2019</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0</v>
      </c>
      <c r="N88" s="545">
        <f>IF(J93&lt;D11,0,VLOOKUP(J93,C17:O73,11))</f>
        <v>0</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0</v>
      </c>
      <c r="N89" s="549">
        <f>IF(J93&lt;D11,0,VLOOKUP(J93,C100:P155,7))</f>
        <v>0</v>
      </c>
      <c r="O89" s="550">
        <f>+N89-M89</f>
        <v>0</v>
      </c>
      <c r="P89" s="244"/>
      <c r="Q89" s="244"/>
      <c r="R89" s="244"/>
      <c r="S89" s="244"/>
      <c r="T89" s="244"/>
      <c r="U89" s="244"/>
    </row>
    <row r="90" spans="1:21" ht="13.5" thickBot="1">
      <c r="C90" s="455" t="s">
        <v>82</v>
      </c>
      <c r="D90" s="551" t="str">
        <f>+D7</f>
        <v>Install 345kV terminal at Valliant***</v>
      </c>
      <c r="E90" s="244"/>
      <c r="F90" s="244"/>
      <c r="G90" s="244"/>
      <c r="H90" s="244"/>
      <c r="I90" s="326"/>
      <c r="J90" s="326"/>
      <c r="K90" s="552"/>
      <c r="L90" s="553" t="s">
        <v>135</v>
      </c>
      <c r="M90" s="554">
        <f>+M89-M88</f>
        <v>0</v>
      </c>
      <c r="N90" s="554">
        <f>+N89-N88</f>
        <v>0</v>
      </c>
      <c r="O90" s="555">
        <f>+O89-O88</f>
        <v>0</v>
      </c>
      <c r="P90" s="244"/>
      <c r="Q90" s="244"/>
      <c r="R90" s="244"/>
      <c r="S90" s="244"/>
      <c r="T90" s="244"/>
      <c r="U90" s="244"/>
    </row>
    <row r="91" spans="1:21" ht="13.5" thickBot="1">
      <c r="C91" s="533"/>
      <c r="D91" s="605" t="s">
        <v>210</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TP2007167</v>
      </c>
      <c r="E92" s="559"/>
      <c r="F92" s="559"/>
      <c r="G92" s="559"/>
      <c r="H92" s="559"/>
      <c r="I92" s="559"/>
      <c r="J92" s="559"/>
      <c r="K92" s="561"/>
      <c r="P92" s="469"/>
      <c r="Q92" s="244"/>
      <c r="R92" s="244"/>
      <c r="S92" s="244"/>
      <c r="T92" s="244"/>
      <c r="U92" s="244"/>
    </row>
    <row r="93" spans="1:21" ht="13">
      <c r="C93" s="473" t="s">
        <v>49</v>
      </c>
      <c r="D93" s="583">
        <f>IF(D11=I10,0,D10)</f>
        <v>0</v>
      </c>
      <c r="E93" s="249" t="s">
        <v>84</v>
      </c>
      <c r="H93" s="409"/>
      <c r="I93" s="409"/>
      <c r="J93" s="472">
        <f>+'OKT.WS.G.BPU.ATRR.True-up'!M16</f>
        <v>2019</v>
      </c>
      <c r="K93" s="468"/>
      <c r="L93" s="295" t="s">
        <v>85</v>
      </c>
      <c r="P93" s="279"/>
      <c r="Q93" s="244"/>
      <c r="R93" s="244"/>
      <c r="S93" s="244"/>
      <c r="T93" s="244"/>
      <c r="U93" s="244"/>
    </row>
    <row r="94" spans="1:21" ht="12.5">
      <c r="C94" s="473" t="s">
        <v>52</v>
      </c>
      <c r="D94" s="562">
        <f>IF(D11=I10,"",D11)</f>
        <v>2012</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62">
        <f>IF(D11=I10,"",D12)</f>
        <v>4</v>
      </c>
      <c r="E95" s="473" t="s">
        <v>55</v>
      </c>
      <c r="F95" s="409"/>
      <c r="G95" s="409"/>
      <c r="J95" s="477">
        <f>'OKT.WS.G.BPU.ATRR.True-up'!$F$81</f>
        <v>0.10800922592579221</v>
      </c>
      <c r="K95" s="414"/>
      <c r="L95" s="145" t="s">
        <v>86</v>
      </c>
      <c r="P95" s="279"/>
      <c r="Q95" s="244"/>
      <c r="R95" s="244"/>
      <c r="S95" s="244"/>
      <c r="T95" s="244"/>
      <c r="U95" s="244"/>
    </row>
    <row r="96" spans="1:21" ht="12.5">
      <c r="C96" s="473" t="s">
        <v>57</v>
      </c>
      <c r="D96" s="475">
        <f>'OKT.WS.G.BPU.ATRR.True-up'!F$93</f>
        <v>33</v>
      </c>
      <c r="E96" s="473" t="s">
        <v>58</v>
      </c>
      <c r="F96" s="409"/>
      <c r="G96" s="409"/>
      <c r="J96" s="477">
        <f>IF(H88="",J95,'OKT.WS.G.BPU.ATRR.True-up'!$F$80)</f>
        <v>0.10800922592579221</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0</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B100" s="145" t="str">
        <f t="shared" ref="B100:B131" si="17">IF(D100=F99,"","IU")</f>
        <v>IU</v>
      </c>
      <c r="C100" s="496">
        <f>IF(D94= "","-",D94)</f>
        <v>2012</v>
      </c>
      <c r="D100" s="350">
        <f>IF(D94=C100,0,IF(D93&lt;100000,0,D93))</f>
        <v>0</v>
      </c>
      <c r="E100" s="512">
        <f>IF(OR(D11=I10,D93&lt;100000),0,J97/12*(12-D95))</f>
        <v>0</v>
      </c>
      <c r="F100" s="511">
        <f>IF(D94=C100,+D93-E100,+D100-E100)</f>
        <v>0</v>
      </c>
      <c r="G100" s="606">
        <f t="shared" ref="G100:G131" si="18">+(F100+D100)/2</f>
        <v>0</v>
      </c>
      <c r="H100" s="606">
        <f t="shared" ref="H100:H131" si="19">+J$95*G100+E100</f>
        <v>0</v>
      </c>
      <c r="I100" s="606">
        <f t="shared" ref="I100:I131" si="20">+J$96*G100+E100</f>
        <v>0</v>
      </c>
      <c r="J100" s="505">
        <f t="shared" ref="J100:J131" si="21">+I100-H100</f>
        <v>0</v>
      </c>
      <c r="K100" s="505"/>
      <c r="L100" s="607"/>
      <c r="M100" s="504">
        <f t="shared" ref="M100:M131" si="22">IF(L100&lt;&gt;0,+H100-L100,0)</f>
        <v>0</v>
      </c>
      <c r="N100" s="607"/>
      <c r="O100" s="504">
        <f t="shared" ref="O100:O131" si="23">IF(N100&lt;&gt;0,+I100-N100,0)</f>
        <v>0</v>
      </c>
      <c r="P100" s="504">
        <f t="shared" ref="P100:P131" si="24">+O100-M100</f>
        <v>0</v>
      </c>
      <c r="Q100" s="244"/>
      <c r="R100" s="244"/>
      <c r="S100" s="244"/>
      <c r="T100" s="244"/>
      <c r="U100" s="244"/>
    </row>
    <row r="101" spans="1:21" ht="12.5">
      <c r="B101" s="145" t="str">
        <f t="shared" si="17"/>
        <v/>
      </c>
      <c r="C101" s="496">
        <f>IF(D94="","-",+C100+1)</f>
        <v>2013</v>
      </c>
      <c r="D101" s="350">
        <f>IF(F100+SUM(E$100:E100)=D$93,F100,D$93-SUM(E$100:E100))</f>
        <v>0</v>
      </c>
      <c r="E101" s="510">
        <f>IF(+J97&lt;F100,J97,D101)</f>
        <v>0</v>
      </c>
      <c r="F101" s="511">
        <f t="shared" ref="F101:F132" si="25">+D101-E101</f>
        <v>0</v>
      </c>
      <c r="G101" s="511">
        <f t="shared" si="18"/>
        <v>0</v>
      </c>
      <c r="H101" s="524">
        <f t="shared" si="19"/>
        <v>0</v>
      </c>
      <c r="I101" s="573">
        <f t="shared" si="20"/>
        <v>0</v>
      </c>
      <c r="J101" s="505">
        <f t="shared" si="21"/>
        <v>0</v>
      </c>
      <c r="K101" s="505"/>
      <c r="L101" s="513"/>
      <c r="M101" s="505">
        <f t="shared" si="22"/>
        <v>0</v>
      </c>
      <c r="N101" s="513"/>
      <c r="O101" s="505">
        <f t="shared" si="23"/>
        <v>0</v>
      </c>
      <c r="P101" s="505">
        <f t="shared" si="24"/>
        <v>0</v>
      </c>
      <c r="Q101" s="244"/>
      <c r="R101" s="244"/>
      <c r="S101" s="244"/>
      <c r="T101" s="244"/>
      <c r="U101" s="244"/>
    </row>
    <row r="102" spans="1:21" ht="12.5">
      <c r="B102" s="145" t="str">
        <f t="shared" si="17"/>
        <v/>
      </c>
      <c r="C102" s="496">
        <f>IF(D94="","-",+C101+1)</f>
        <v>2014</v>
      </c>
      <c r="D102" s="350">
        <f>IF(F101+SUM(E$100:E101)=D$93,F101,D$93-SUM(E$100:E101))</f>
        <v>0</v>
      </c>
      <c r="E102" s="510">
        <f>IF(+J97&lt;F101,J97,D102)</f>
        <v>0</v>
      </c>
      <c r="F102" s="511">
        <f t="shared" si="25"/>
        <v>0</v>
      </c>
      <c r="G102" s="511">
        <f t="shared" si="18"/>
        <v>0</v>
      </c>
      <c r="H102" s="524">
        <f t="shared" si="19"/>
        <v>0</v>
      </c>
      <c r="I102" s="573">
        <f t="shared" si="20"/>
        <v>0</v>
      </c>
      <c r="J102" s="505">
        <f t="shared" si="21"/>
        <v>0</v>
      </c>
      <c r="K102" s="505"/>
      <c r="L102" s="513"/>
      <c r="M102" s="505">
        <f t="shared" si="22"/>
        <v>0</v>
      </c>
      <c r="N102" s="513"/>
      <c r="O102" s="505">
        <f t="shared" si="23"/>
        <v>0</v>
      </c>
      <c r="P102" s="505">
        <f t="shared" si="24"/>
        <v>0</v>
      </c>
      <c r="Q102" s="244"/>
      <c r="R102" s="244"/>
      <c r="S102" s="244"/>
      <c r="T102" s="244"/>
      <c r="U102" s="244"/>
    </row>
    <row r="103" spans="1:21" ht="12.5">
      <c r="B103" s="145" t="str">
        <f t="shared" si="17"/>
        <v/>
      </c>
      <c r="C103" s="496">
        <f>IF(D94="","-",+C102+1)</f>
        <v>2015</v>
      </c>
      <c r="D103" s="350">
        <f>IF(F102+SUM(E$100:E102)=D$93,F102,D$93-SUM(E$100:E102))</f>
        <v>0</v>
      </c>
      <c r="E103" s="510">
        <f>IF(+J97&lt;F102,J97,D103)</f>
        <v>0</v>
      </c>
      <c r="F103" s="511">
        <f t="shared" si="25"/>
        <v>0</v>
      </c>
      <c r="G103" s="511">
        <f t="shared" si="18"/>
        <v>0</v>
      </c>
      <c r="H103" s="524">
        <f t="shared" si="19"/>
        <v>0</v>
      </c>
      <c r="I103" s="573">
        <f t="shared" si="20"/>
        <v>0</v>
      </c>
      <c r="J103" s="505">
        <f t="shared" si="21"/>
        <v>0</v>
      </c>
      <c r="K103" s="505"/>
      <c r="L103" s="513"/>
      <c r="M103" s="505">
        <f t="shared" si="22"/>
        <v>0</v>
      </c>
      <c r="N103" s="513"/>
      <c r="O103" s="505">
        <f t="shared" si="23"/>
        <v>0</v>
      </c>
      <c r="P103" s="505">
        <f t="shared" si="24"/>
        <v>0</v>
      </c>
      <c r="Q103" s="244"/>
      <c r="R103" s="244"/>
      <c r="S103" s="244"/>
      <c r="T103" s="244"/>
      <c r="U103" s="244"/>
    </row>
    <row r="104" spans="1:21" ht="12.5">
      <c r="B104" s="145" t="str">
        <f t="shared" si="17"/>
        <v/>
      </c>
      <c r="C104" s="496">
        <f>IF(D94="","-",+C103+1)</f>
        <v>2016</v>
      </c>
      <c r="D104" s="350">
        <f>IF(F103+SUM(E$100:E103)=D$93,F103,D$93-SUM(E$100:E103))</f>
        <v>0</v>
      </c>
      <c r="E104" s="510">
        <f>IF(+J97&lt;F103,J97,D104)</f>
        <v>0</v>
      </c>
      <c r="F104" s="511">
        <f t="shared" si="25"/>
        <v>0</v>
      </c>
      <c r="G104" s="511">
        <f t="shared" si="18"/>
        <v>0</v>
      </c>
      <c r="H104" s="524">
        <f t="shared" si="19"/>
        <v>0</v>
      </c>
      <c r="I104" s="573">
        <f t="shared" si="20"/>
        <v>0</v>
      </c>
      <c r="J104" s="505">
        <f t="shared" si="21"/>
        <v>0</v>
      </c>
      <c r="K104" s="505"/>
      <c r="L104" s="513"/>
      <c r="M104" s="505">
        <f t="shared" si="22"/>
        <v>0</v>
      </c>
      <c r="N104" s="513"/>
      <c r="O104" s="505">
        <f t="shared" si="23"/>
        <v>0</v>
      </c>
      <c r="P104" s="505">
        <f t="shared" si="24"/>
        <v>0</v>
      </c>
      <c r="Q104" s="244"/>
      <c r="R104" s="244"/>
      <c r="S104" s="244"/>
      <c r="T104" s="244"/>
      <c r="U104" s="244"/>
    </row>
    <row r="105" spans="1:21" ht="12.5">
      <c r="B105" s="145" t="str">
        <f t="shared" si="17"/>
        <v/>
      </c>
      <c r="C105" s="496">
        <f>IF(D94="","-",+C104+1)</f>
        <v>2017</v>
      </c>
      <c r="D105" s="350">
        <f>IF(F104+SUM(E$100:E104)=D$93,F104,D$93-SUM(E$100:E104))</f>
        <v>0</v>
      </c>
      <c r="E105" s="510">
        <f>IF(+J97&lt;F104,J97,D105)</f>
        <v>0</v>
      </c>
      <c r="F105" s="511">
        <f t="shared" si="25"/>
        <v>0</v>
      </c>
      <c r="G105" s="511">
        <f t="shared" si="18"/>
        <v>0</v>
      </c>
      <c r="H105" s="524">
        <f t="shared" si="19"/>
        <v>0</v>
      </c>
      <c r="I105" s="573">
        <f t="shared" si="20"/>
        <v>0</v>
      </c>
      <c r="J105" s="505">
        <f t="shared" si="21"/>
        <v>0</v>
      </c>
      <c r="K105" s="505"/>
      <c r="L105" s="513"/>
      <c r="M105" s="505">
        <f t="shared" si="22"/>
        <v>0</v>
      </c>
      <c r="N105" s="513"/>
      <c r="O105" s="505">
        <f t="shared" si="23"/>
        <v>0</v>
      </c>
      <c r="P105" s="505">
        <f t="shared" si="24"/>
        <v>0</v>
      </c>
      <c r="Q105" s="244"/>
      <c r="R105" s="244"/>
      <c r="S105" s="244"/>
      <c r="T105" s="244"/>
      <c r="U105" s="244"/>
    </row>
    <row r="106" spans="1:21" ht="12.5">
      <c r="B106" s="145" t="str">
        <f t="shared" si="17"/>
        <v/>
      </c>
      <c r="C106" s="496">
        <f>IF(D94="","-",+C105+1)</f>
        <v>2018</v>
      </c>
      <c r="D106" s="350">
        <f>IF(F105+SUM(E$100:E105)=D$93,F105,D$93-SUM(E$100:E105))</f>
        <v>0</v>
      </c>
      <c r="E106" s="510">
        <f>IF(+J97&lt;F105,J97,D106)</f>
        <v>0</v>
      </c>
      <c r="F106" s="511">
        <f t="shared" si="25"/>
        <v>0</v>
      </c>
      <c r="G106" s="511">
        <f t="shared" si="18"/>
        <v>0</v>
      </c>
      <c r="H106" s="524">
        <f t="shared" si="19"/>
        <v>0</v>
      </c>
      <c r="I106" s="573">
        <f t="shared" si="20"/>
        <v>0</v>
      </c>
      <c r="J106" s="505">
        <f t="shared" si="21"/>
        <v>0</v>
      </c>
      <c r="K106" s="505"/>
      <c r="L106" s="513"/>
      <c r="M106" s="505">
        <f t="shared" si="22"/>
        <v>0</v>
      </c>
      <c r="N106" s="513"/>
      <c r="O106" s="505">
        <f t="shared" si="23"/>
        <v>0</v>
      </c>
      <c r="P106" s="505">
        <f t="shared" si="24"/>
        <v>0</v>
      </c>
      <c r="Q106" s="244"/>
      <c r="R106" s="244"/>
      <c r="S106" s="244"/>
      <c r="T106" s="244"/>
      <c r="U106" s="244"/>
    </row>
    <row r="107" spans="1:21" ht="12.5">
      <c r="B107" s="145" t="str">
        <f t="shared" si="17"/>
        <v/>
      </c>
      <c r="C107" s="496">
        <f>IF(D94="","-",+C106+1)</f>
        <v>2019</v>
      </c>
      <c r="D107" s="350">
        <f>IF(F106+SUM(E$100:E106)=D$93,F106,D$93-SUM(E$100:E106))</f>
        <v>0</v>
      </c>
      <c r="E107" s="510">
        <f>IF(+J97&lt;F106,J97,D107)</f>
        <v>0</v>
      </c>
      <c r="F107" s="511">
        <f t="shared" si="25"/>
        <v>0</v>
      </c>
      <c r="G107" s="511">
        <f t="shared" si="18"/>
        <v>0</v>
      </c>
      <c r="H107" s="524">
        <f t="shared" si="19"/>
        <v>0</v>
      </c>
      <c r="I107" s="573">
        <f t="shared" si="20"/>
        <v>0</v>
      </c>
      <c r="J107" s="505">
        <f t="shared" si="21"/>
        <v>0</v>
      </c>
      <c r="K107" s="505"/>
      <c r="L107" s="513"/>
      <c r="M107" s="505">
        <f t="shared" si="22"/>
        <v>0</v>
      </c>
      <c r="N107" s="513"/>
      <c r="O107" s="505">
        <f t="shared" si="23"/>
        <v>0</v>
      </c>
      <c r="P107" s="505">
        <f t="shared" si="24"/>
        <v>0</v>
      </c>
      <c r="Q107" s="244"/>
      <c r="R107" s="244"/>
      <c r="S107" s="244"/>
      <c r="T107" s="244"/>
      <c r="U107" s="244"/>
    </row>
    <row r="108" spans="1:21" ht="12.5">
      <c r="B108" s="145" t="str">
        <f t="shared" si="17"/>
        <v/>
      </c>
      <c r="C108" s="496">
        <f>IF(D94="","-",+C107+1)</f>
        <v>2020</v>
      </c>
      <c r="D108" s="350">
        <f>IF(F107+SUM(E$100:E107)=D$93,F107,D$93-SUM(E$100:E107))</f>
        <v>0</v>
      </c>
      <c r="E108" s="510">
        <f>IF(+J97&lt;F107,J97,D108)</f>
        <v>0</v>
      </c>
      <c r="F108" s="511">
        <f t="shared" si="25"/>
        <v>0</v>
      </c>
      <c r="G108" s="511">
        <f t="shared" si="18"/>
        <v>0</v>
      </c>
      <c r="H108" s="524">
        <f t="shared" si="19"/>
        <v>0</v>
      </c>
      <c r="I108" s="573">
        <f t="shared" si="20"/>
        <v>0</v>
      </c>
      <c r="J108" s="505">
        <f t="shared" si="21"/>
        <v>0</v>
      </c>
      <c r="K108" s="505"/>
      <c r="L108" s="513"/>
      <c r="M108" s="505">
        <f t="shared" si="22"/>
        <v>0</v>
      </c>
      <c r="N108" s="513"/>
      <c r="O108" s="505">
        <f t="shared" si="23"/>
        <v>0</v>
      </c>
      <c r="P108" s="505">
        <f t="shared" si="24"/>
        <v>0</v>
      </c>
      <c r="Q108" s="244"/>
      <c r="R108" s="244"/>
      <c r="S108" s="244"/>
      <c r="T108" s="244"/>
      <c r="U108" s="244"/>
    </row>
    <row r="109" spans="1:21" ht="12.5">
      <c r="B109" s="145" t="str">
        <f t="shared" si="17"/>
        <v/>
      </c>
      <c r="C109" s="496">
        <f>IF(D94="","-",+C108+1)</f>
        <v>2021</v>
      </c>
      <c r="D109" s="350">
        <f>IF(F108+SUM(E$100:E108)=D$93,F108,D$93-SUM(E$100:E108))</f>
        <v>0</v>
      </c>
      <c r="E109" s="510">
        <f>IF(+J97&lt;F108,J97,D109)</f>
        <v>0</v>
      </c>
      <c r="F109" s="511">
        <f t="shared" si="25"/>
        <v>0</v>
      </c>
      <c r="G109" s="511">
        <f t="shared" si="18"/>
        <v>0</v>
      </c>
      <c r="H109" s="524">
        <f t="shared" si="19"/>
        <v>0</v>
      </c>
      <c r="I109" s="573">
        <f t="shared" si="20"/>
        <v>0</v>
      </c>
      <c r="J109" s="505">
        <f t="shared" si="21"/>
        <v>0</v>
      </c>
      <c r="K109" s="505"/>
      <c r="L109" s="513"/>
      <c r="M109" s="505">
        <f t="shared" si="22"/>
        <v>0</v>
      </c>
      <c r="N109" s="513"/>
      <c r="O109" s="505">
        <f t="shared" si="23"/>
        <v>0</v>
      </c>
      <c r="P109" s="505">
        <f t="shared" si="24"/>
        <v>0</v>
      </c>
      <c r="Q109" s="244"/>
      <c r="R109" s="244"/>
      <c r="S109" s="244"/>
      <c r="T109" s="244"/>
      <c r="U109" s="244"/>
    </row>
    <row r="110" spans="1:21" ht="12.5">
      <c r="B110" s="145" t="str">
        <f t="shared" si="17"/>
        <v/>
      </c>
      <c r="C110" s="496">
        <f>IF(D94="","-",+C109+1)</f>
        <v>2022</v>
      </c>
      <c r="D110" s="350">
        <f>IF(F109+SUM(E$100:E109)=D$93,F109,D$93-SUM(E$100:E109))</f>
        <v>0</v>
      </c>
      <c r="E110" s="510">
        <f>IF(+J97&lt;F109,J97,D110)</f>
        <v>0</v>
      </c>
      <c r="F110" s="511">
        <f t="shared" si="25"/>
        <v>0</v>
      </c>
      <c r="G110" s="511">
        <f t="shared" si="18"/>
        <v>0</v>
      </c>
      <c r="H110" s="524">
        <f t="shared" si="19"/>
        <v>0</v>
      </c>
      <c r="I110" s="573">
        <f t="shared" si="20"/>
        <v>0</v>
      </c>
      <c r="J110" s="505">
        <f t="shared" si="21"/>
        <v>0</v>
      </c>
      <c r="K110" s="505"/>
      <c r="L110" s="513"/>
      <c r="M110" s="505">
        <f t="shared" si="22"/>
        <v>0</v>
      </c>
      <c r="N110" s="513"/>
      <c r="O110" s="505">
        <f t="shared" si="23"/>
        <v>0</v>
      </c>
      <c r="P110" s="505">
        <f t="shared" si="24"/>
        <v>0</v>
      </c>
      <c r="Q110" s="244"/>
      <c r="R110" s="244"/>
      <c r="S110" s="244"/>
      <c r="T110" s="244"/>
      <c r="U110" s="244"/>
    </row>
    <row r="111" spans="1:21" ht="12.5">
      <c r="B111" s="145" t="str">
        <f t="shared" si="17"/>
        <v/>
      </c>
      <c r="C111" s="496">
        <f>IF(D94="","-",+C110+1)</f>
        <v>2023</v>
      </c>
      <c r="D111" s="350">
        <f>IF(F110+SUM(E$100:E110)=D$93,F110,D$93-SUM(E$100:E110))</f>
        <v>0</v>
      </c>
      <c r="E111" s="510">
        <f>IF(+J97&lt;F110,J97,D111)</f>
        <v>0</v>
      </c>
      <c r="F111" s="511">
        <f t="shared" si="25"/>
        <v>0</v>
      </c>
      <c r="G111" s="511">
        <f t="shared" si="18"/>
        <v>0</v>
      </c>
      <c r="H111" s="524">
        <f t="shared" si="19"/>
        <v>0</v>
      </c>
      <c r="I111" s="573">
        <f t="shared" si="20"/>
        <v>0</v>
      </c>
      <c r="J111" s="505">
        <f t="shared" si="21"/>
        <v>0</v>
      </c>
      <c r="K111" s="505"/>
      <c r="L111" s="513"/>
      <c r="M111" s="505">
        <f t="shared" si="22"/>
        <v>0</v>
      </c>
      <c r="N111" s="513"/>
      <c r="O111" s="505">
        <f t="shared" si="23"/>
        <v>0</v>
      </c>
      <c r="P111" s="505">
        <f t="shared" si="24"/>
        <v>0</v>
      </c>
      <c r="Q111" s="244"/>
      <c r="R111" s="244"/>
      <c r="S111" s="244"/>
      <c r="T111" s="244"/>
      <c r="U111" s="244"/>
    </row>
    <row r="112" spans="1:21" ht="12.5">
      <c r="B112" s="145" t="str">
        <f t="shared" si="17"/>
        <v/>
      </c>
      <c r="C112" s="496">
        <f>IF(D94="","-",+C111+1)</f>
        <v>2024</v>
      </c>
      <c r="D112" s="350">
        <f>IF(F111+SUM(E$100:E111)=D$93,F111,D$93-SUM(E$100:E111))</f>
        <v>0</v>
      </c>
      <c r="E112" s="510">
        <f>IF(+J97&lt;F111,J97,D112)</f>
        <v>0</v>
      </c>
      <c r="F112" s="511">
        <f t="shared" si="25"/>
        <v>0</v>
      </c>
      <c r="G112" s="511">
        <f t="shared" si="18"/>
        <v>0</v>
      </c>
      <c r="H112" s="524">
        <f t="shared" si="19"/>
        <v>0</v>
      </c>
      <c r="I112" s="573">
        <f t="shared" si="20"/>
        <v>0</v>
      </c>
      <c r="J112" s="505">
        <f t="shared" si="21"/>
        <v>0</v>
      </c>
      <c r="K112" s="505"/>
      <c r="L112" s="513"/>
      <c r="M112" s="505">
        <f t="shared" si="22"/>
        <v>0</v>
      </c>
      <c r="N112" s="513"/>
      <c r="O112" s="505">
        <f t="shared" si="23"/>
        <v>0</v>
      </c>
      <c r="P112" s="505">
        <f t="shared" si="24"/>
        <v>0</v>
      </c>
      <c r="Q112" s="244"/>
      <c r="R112" s="244"/>
      <c r="S112" s="244"/>
      <c r="T112" s="244"/>
      <c r="U112" s="244"/>
    </row>
    <row r="113" spans="2:21" ht="12.5">
      <c r="B113" s="145" t="str">
        <f t="shared" si="17"/>
        <v/>
      </c>
      <c r="C113" s="496">
        <f>IF(D94="","-",+C112+1)</f>
        <v>2025</v>
      </c>
      <c r="D113" s="350">
        <f>IF(F112+SUM(E$100:E112)=D$93,F112,D$93-SUM(E$100:E112))</f>
        <v>0</v>
      </c>
      <c r="E113" s="510">
        <f>IF(+J97&lt;F112,J97,D113)</f>
        <v>0</v>
      </c>
      <c r="F113" s="511">
        <f t="shared" si="25"/>
        <v>0</v>
      </c>
      <c r="G113" s="511">
        <f t="shared" si="18"/>
        <v>0</v>
      </c>
      <c r="H113" s="524">
        <f t="shared" si="19"/>
        <v>0</v>
      </c>
      <c r="I113" s="573">
        <f t="shared" si="20"/>
        <v>0</v>
      </c>
      <c r="J113" s="505">
        <f t="shared" si="21"/>
        <v>0</v>
      </c>
      <c r="K113" s="505"/>
      <c r="L113" s="513"/>
      <c r="M113" s="505">
        <f t="shared" si="22"/>
        <v>0</v>
      </c>
      <c r="N113" s="513"/>
      <c r="O113" s="505">
        <f t="shared" si="23"/>
        <v>0</v>
      </c>
      <c r="P113" s="505">
        <f t="shared" si="24"/>
        <v>0</v>
      </c>
      <c r="Q113" s="244"/>
      <c r="R113" s="244"/>
      <c r="S113" s="244"/>
      <c r="T113" s="244"/>
      <c r="U113" s="244"/>
    </row>
    <row r="114" spans="2:21" ht="12.5">
      <c r="B114" s="145" t="str">
        <f t="shared" si="17"/>
        <v/>
      </c>
      <c r="C114" s="496">
        <f>IF(D94="","-",+C113+1)</f>
        <v>2026</v>
      </c>
      <c r="D114" s="350">
        <f>IF(F113+SUM(E$100:E113)=D$93,F113,D$93-SUM(E$100:E113))</f>
        <v>0</v>
      </c>
      <c r="E114" s="510">
        <f>IF(+J97&lt;F113,J97,D114)</f>
        <v>0</v>
      </c>
      <c r="F114" s="511">
        <f t="shared" si="25"/>
        <v>0</v>
      </c>
      <c r="G114" s="511">
        <f t="shared" si="18"/>
        <v>0</v>
      </c>
      <c r="H114" s="524">
        <f t="shared" si="19"/>
        <v>0</v>
      </c>
      <c r="I114" s="573">
        <f t="shared" si="20"/>
        <v>0</v>
      </c>
      <c r="J114" s="505">
        <f t="shared" si="21"/>
        <v>0</v>
      </c>
      <c r="K114" s="505"/>
      <c r="L114" s="513"/>
      <c r="M114" s="505">
        <f t="shared" si="22"/>
        <v>0</v>
      </c>
      <c r="N114" s="513"/>
      <c r="O114" s="505">
        <f t="shared" si="23"/>
        <v>0</v>
      </c>
      <c r="P114" s="505">
        <f t="shared" si="24"/>
        <v>0</v>
      </c>
      <c r="Q114" s="244"/>
      <c r="R114" s="244"/>
      <c r="S114" s="244"/>
      <c r="T114" s="244"/>
      <c r="U114" s="244"/>
    </row>
    <row r="115" spans="2:21" ht="12.5">
      <c r="B115" s="145" t="str">
        <f t="shared" si="17"/>
        <v/>
      </c>
      <c r="C115" s="496">
        <f>IF(D94="","-",+C114+1)</f>
        <v>2027</v>
      </c>
      <c r="D115" s="350">
        <f>IF(F114+SUM(E$100:E114)=D$93,F114,D$93-SUM(E$100:E114))</f>
        <v>0</v>
      </c>
      <c r="E115" s="510">
        <f>IF(+J97&lt;F114,J97,D115)</f>
        <v>0</v>
      </c>
      <c r="F115" s="511">
        <f t="shared" si="25"/>
        <v>0</v>
      </c>
      <c r="G115" s="511">
        <f t="shared" si="18"/>
        <v>0</v>
      </c>
      <c r="H115" s="524">
        <f t="shared" si="19"/>
        <v>0</v>
      </c>
      <c r="I115" s="573">
        <f t="shared" si="20"/>
        <v>0</v>
      </c>
      <c r="J115" s="505">
        <f t="shared" si="21"/>
        <v>0</v>
      </c>
      <c r="K115" s="505"/>
      <c r="L115" s="513"/>
      <c r="M115" s="505">
        <f t="shared" si="22"/>
        <v>0</v>
      </c>
      <c r="N115" s="513"/>
      <c r="O115" s="505">
        <f t="shared" si="23"/>
        <v>0</v>
      </c>
      <c r="P115" s="505">
        <f t="shared" si="24"/>
        <v>0</v>
      </c>
      <c r="Q115" s="244"/>
      <c r="R115" s="244"/>
      <c r="S115" s="244"/>
      <c r="T115" s="244"/>
      <c r="U115" s="244"/>
    </row>
    <row r="116" spans="2:21" ht="12.5">
      <c r="B116" s="145" t="str">
        <f t="shared" si="17"/>
        <v/>
      </c>
      <c r="C116" s="496">
        <f>IF(D94="","-",+C115+1)</f>
        <v>2028</v>
      </c>
      <c r="D116" s="350">
        <f>IF(F115+SUM(E$100:E115)=D$93,F115,D$93-SUM(E$100:E115))</f>
        <v>0</v>
      </c>
      <c r="E116" s="510">
        <f>IF(+J97&lt;F115,J97,D116)</f>
        <v>0</v>
      </c>
      <c r="F116" s="511">
        <f t="shared" si="25"/>
        <v>0</v>
      </c>
      <c r="G116" s="511">
        <f t="shared" si="18"/>
        <v>0</v>
      </c>
      <c r="H116" s="524">
        <f t="shared" si="19"/>
        <v>0</v>
      </c>
      <c r="I116" s="573">
        <f t="shared" si="20"/>
        <v>0</v>
      </c>
      <c r="J116" s="505">
        <f t="shared" si="21"/>
        <v>0</v>
      </c>
      <c r="K116" s="505"/>
      <c r="L116" s="513"/>
      <c r="M116" s="505">
        <f t="shared" si="22"/>
        <v>0</v>
      </c>
      <c r="N116" s="513"/>
      <c r="O116" s="505">
        <f t="shared" si="23"/>
        <v>0</v>
      </c>
      <c r="P116" s="505">
        <f t="shared" si="24"/>
        <v>0</v>
      </c>
      <c r="Q116" s="244"/>
      <c r="R116" s="244"/>
      <c r="S116" s="244"/>
      <c r="T116" s="244"/>
      <c r="U116" s="244"/>
    </row>
    <row r="117" spans="2:21" ht="12.5">
      <c r="B117" s="145" t="str">
        <f t="shared" si="17"/>
        <v/>
      </c>
      <c r="C117" s="496">
        <f>IF(D94="","-",+C116+1)</f>
        <v>2029</v>
      </c>
      <c r="D117" s="350">
        <f>IF(F116+SUM(E$100:E116)=D$93,F116,D$93-SUM(E$100:E116))</f>
        <v>0</v>
      </c>
      <c r="E117" s="510">
        <f>IF(+J97&lt;F116,J97,D117)</f>
        <v>0</v>
      </c>
      <c r="F117" s="511">
        <f t="shared" si="25"/>
        <v>0</v>
      </c>
      <c r="G117" s="511">
        <f t="shared" si="18"/>
        <v>0</v>
      </c>
      <c r="H117" s="524">
        <f t="shared" si="19"/>
        <v>0</v>
      </c>
      <c r="I117" s="573">
        <f t="shared" si="20"/>
        <v>0</v>
      </c>
      <c r="J117" s="505">
        <f t="shared" si="21"/>
        <v>0</v>
      </c>
      <c r="K117" s="505"/>
      <c r="L117" s="513"/>
      <c r="M117" s="505">
        <f t="shared" si="22"/>
        <v>0</v>
      </c>
      <c r="N117" s="513"/>
      <c r="O117" s="505">
        <f t="shared" si="23"/>
        <v>0</v>
      </c>
      <c r="P117" s="505">
        <f t="shared" si="24"/>
        <v>0</v>
      </c>
      <c r="Q117" s="244"/>
      <c r="R117" s="244"/>
      <c r="S117" s="244"/>
      <c r="T117" s="244"/>
      <c r="U117" s="244"/>
    </row>
    <row r="118" spans="2:21" ht="12.5">
      <c r="B118" s="145" t="str">
        <f t="shared" si="17"/>
        <v/>
      </c>
      <c r="C118" s="496">
        <f>IF(D94="","-",+C117+1)</f>
        <v>2030</v>
      </c>
      <c r="D118" s="350">
        <f>IF(F117+SUM(E$100:E117)=D$93,F117,D$93-SUM(E$100:E117))</f>
        <v>0</v>
      </c>
      <c r="E118" s="510">
        <f>IF(+J97&lt;F117,J97,D118)</f>
        <v>0</v>
      </c>
      <c r="F118" s="511">
        <f t="shared" si="25"/>
        <v>0</v>
      </c>
      <c r="G118" s="511">
        <f t="shared" si="18"/>
        <v>0</v>
      </c>
      <c r="H118" s="524">
        <f t="shared" si="19"/>
        <v>0</v>
      </c>
      <c r="I118" s="573">
        <f t="shared" si="20"/>
        <v>0</v>
      </c>
      <c r="J118" s="505">
        <f t="shared" si="21"/>
        <v>0</v>
      </c>
      <c r="K118" s="505"/>
      <c r="L118" s="513"/>
      <c r="M118" s="505">
        <f t="shared" si="22"/>
        <v>0</v>
      </c>
      <c r="N118" s="513"/>
      <c r="O118" s="505">
        <f t="shared" si="23"/>
        <v>0</v>
      </c>
      <c r="P118" s="505">
        <f t="shared" si="24"/>
        <v>0</v>
      </c>
      <c r="Q118" s="244"/>
      <c r="R118" s="244"/>
      <c r="S118" s="244"/>
      <c r="T118" s="244"/>
      <c r="U118" s="244"/>
    </row>
    <row r="119" spans="2:21" ht="12.5">
      <c r="B119" s="145" t="str">
        <f t="shared" si="17"/>
        <v/>
      </c>
      <c r="C119" s="496">
        <f>IF(D94="","-",+C118+1)</f>
        <v>2031</v>
      </c>
      <c r="D119" s="350">
        <f>IF(F118+SUM(E$100:E118)=D$93,F118,D$93-SUM(E$100:E118))</f>
        <v>0</v>
      </c>
      <c r="E119" s="510">
        <f>IF(+J97&lt;F118,J97,D119)</f>
        <v>0</v>
      </c>
      <c r="F119" s="511">
        <f t="shared" si="25"/>
        <v>0</v>
      </c>
      <c r="G119" s="511">
        <f t="shared" si="18"/>
        <v>0</v>
      </c>
      <c r="H119" s="524">
        <f t="shared" si="19"/>
        <v>0</v>
      </c>
      <c r="I119" s="573">
        <f t="shared" si="20"/>
        <v>0</v>
      </c>
      <c r="J119" s="505">
        <f t="shared" si="21"/>
        <v>0</v>
      </c>
      <c r="K119" s="505"/>
      <c r="L119" s="513"/>
      <c r="M119" s="505">
        <f t="shared" si="22"/>
        <v>0</v>
      </c>
      <c r="N119" s="513"/>
      <c r="O119" s="505">
        <f t="shared" si="23"/>
        <v>0</v>
      </c>
      <c r="P119" s="505">
        <f t="shared" si="24"/>
        <v>0</v>
      </c>
      <c r="Q119" s="244"/>
      <c r="R119" s="244"/>
      <c r="S119" s="244"/>
      <c r="T119" s="244"/>
      <c r="U119" s="244"/>
    </row>
    <row r="120" spans="2:21" ht="12.5">
      <c r="B120" s="145" t="str">
        <f t="shared" si="17"/>
        <v/>
      </c>
      <c r="C120" s="496">
        <f>IF(D94="","-",+C119+1)</f>
        <v>2032</v>
      </c>
      <c r="D120" s="350">
        <f>IF(F119+SUM(E$100:E119)=D$93,F119,D$93-SUM(E$100:E119))</f>
        <v>0</v>
      </c>
      <c r="E120" s="510">
        <f>IF(+J97&lt;F119,J97,D120)</f>
        <v>0</v>
      </c>
      <c r="F120" s="511">
        <f t="shared" si="25"/>
        <v>0</v>
      </c>
      <c r="G120" s="511">
        <f t="shared" si="18"/>
        <v>0</v>
      </c>
      <c r="H120" s="524">
        <f t="shared" si="19"/>
        <v>0</v>
      </c>
      <c r="I120" s="573">
        <f t="shared" si="20"/>
        <v>0</v>
      </c>
      <c r="J120" s="505">
        <f t="shared" si="21"/>
        <v>0</v>
      </c>
      <c r="K120" s="505"/>
      <c r="L120" s="513"/>
      <c r="M120" s="505">
        <f t="shared" si="22"/>
        <v>0</v>
      </c>
      <c r="N120" s="513"/>
      <c r="O120" s="505">
        <f t="shared" si="23"/>
        <v>0</v>
      </c>
      <c r="P120" s="505">
        <f t="shared" si="24"/>
        <v>0</v>
      </c>
      <c r="Q120" s="244"/>
      <c r="R120" s="244"/>
      <c r="S120" s="244"/>
      <c r="T120" s="244"/>
      <c r="U120" s="244"/>
    </row>
    <row r="121" spans="2:21" ht="12.5">
      <c r="B121" s="145" t="str">
        <f t="shared" si="17"/>
        <v/>
      </c>
      <c r="C121" s="496">
        <f>IF(D94="","-",+C120+1)</f>
        <v>2033</v>
      </c>
      <c r="D121" s="350">
        <f>IF(F120+SUM(E$100:E120)=D$93,F120,D$93-SUM(E$100:E120))</f>
        <v>0</v>
      </c>
      <c r="E121" s="510">
        <f>IF(+J97&lt;F120,J97,D121)</f>
        <v>0</v>
      </c>
      <c r="F121" s="511">
        <f t="shared" si="25"/>
        <v>0</v>
      </c>
      <c r="G121" s="511">
        <f t="shared" si="18"/>
        <v>0</v>
      </c>
      <c r="H121" s="524">
        <f t="shared" si="19"/>
        <v>0</v>
      </c>
      <c r="I121" s="573">
        <f t="shared" si="20"/>
        <v>0</v>
      </c>
      <c r="J121" s="505">
        <f t="shared" si="21"/>
        <v>0</v>
      </c>
      <c r="K121" s="505"/>
      <c r="L121" s="513"/>
      <c r="M121" s="505">
        <f t="shared" si="22"/>
        <v>0</v>
      </c>
      <c r="N121" s="513"/>
      <c r="O121" s="505">
        <f t="shared" si="23"/>
        <v>0</v>
      </c>
      <c r="P121" s="505">
        <f t="shared" si="24"/>
        <v>0</v>
      </c>
      <c r="Q121" s="244"/>
      <c r="R121" s="244"/>
      <c r="S121" s="244"/>
      <c r="T121" s="244"/>
      <c r="U121" s="244"/>
    </row>
    <row r="122" spans="2:21" ht="12.5">
      <c r="B122" s="145" t="str">
        <f t="shared" si="17"/>
        <v/>
      </c>
      <c r="C122" s="496">
        <f>IF(D94="","-",+C121+1)</f>
        <v>2034</v>
      </c>
      <c r="D122" s="350">
        <f>IF(F121+SUM(E$100:E121)=D$93,F121,D$93-SUM(E$100:E121))</f>
        <v>0</v>
      </c>
      <c r="E122" s="510">
        <f>IF(+J97&lt;F121,J97,D122)</f>
        <v>0</v>
      </c>
      <c r="F122" s="511">
        <f t="shared" si="25"/>
        <v>0</v>
      </c>
      <c r="G122" s="511">
        <f t="shared" si="18"/>
        <v>0</v>
      </c>
      <c r="H122" s="524">
        <f t="shared" si="19"/>
        <v>0</v>
      </c>
      <c r="I122" s="573">
        <f t="shared" si="20"/>
        <v>0</v>
      </c>
      <c r="J122" s="505">
        <f t="shared" si="21"/>
        <v>0</v>
      </c>
      <c r="K122" s="505"/>
      <c r="L122" s="513"/>
      <c r="M122" s="505">
        <f t="shared" si="22"/>
        <v>0</v>
      </c>
      <c r="N122" s="513"/>
      <c r="O122" s="505">
        <f t="shared" si="23"/>
        <v>0</v>
      </c>
      <c r="P122" s="505">
        <f t="shared" si="24"/>
        <v>0</v>
      </c>
      <c r="Q122" s="244"/>
      <c r="R122" s="244"/>
      <c r="S122" s="244"/>
      <c r="T122" s="244"/>
      <c r="U122" s="244"/>
    </row>
    <row r="123" spans="2:21" ht="12.5">
      <c r="B123" s="145" t="str">
        <f t="shared" si="17"/>
        <v/>
      </c>
      <c r="C123" s="496">
        <f>IF(D94="","-",+C122+1)</f>
        <v>2035</v>
      </c>
      <c r="D123" s="350">
        <f>IF(F122+SUM(E$100:E122)=D$93,F122,D$93-SUM(E$100:E122))</f>
        <v>0</v>
      </c>
      <c r="E123" s="510">
        <f>IF(+J97&lt;F122,J97,D123)</f>
        <v>0</v>
      </c>
      <c r="F123" s="511">
        <f t="shared" si="25"/>
        <v>0</v>
      </c>
      <c r="G123" s="511">
        <f t="shared" si="18"/>
        <v>0</v>
      </c>
      <c r="H123" s="524">
        <f t="shared" si="19"/>
        <v>0</v>
      </c>
      <c r="I123" s="573">
        <f t="shared" si="20"/>
        <v>0</v>
      </c>
      <c r="J123" s="505">
        <f t="shared" si="21"/>
        <v>0</v>
      </c>
      <c r="K123" s="505"/>
      <c r="L123" s="513"/>
      <c r="M123" s="505">
        <f t="shared" si="22"/>
        <v>0</v>
      </c>
      <c r="N123" s="513"/>
      <c r="O123" s="505">
        <f t="shared" si="23"/>
        <v>0</v>
      </c>
      <c r="P123" s="505">
        <f t="shared" si="24"/>
        <v>0</v>
      </c>
      <c r="Q123" s="244"/>
      <c r="R123" s="244"/>
      <c r="S123" s="244"/>
      <c r="T123" s="244"/>
      <c r="U123" s="244"/>
    </row>
    <row r="124" spans="2:21" ht="12.5">
      <c r="B124" s="145" t="str">
        <f t="shared" si="17"/>
        <v/>
      </c>
      <c r="C124" s="496">
        <f>IF(D94="","-",+C123+1)</f>
        <v>2036</v>
      </c>
      <c r="D124" s="350">
        <f>IF(F123+SUM(E$100:E123)=D$93,F123,D$93-SUM(E$100:E123))</f>
        <v>0</v>
      </c>
      <c r="E124" s="510">
        <f>IF(+J97&lt;F123,J97,D124)</f>
        <v>0</v>
      </c>
      <c r="F124" s="511">
        <f t="shared" si="25"/>
        <v>0</v>
      </c>
      <c r="G124" s="511">
        <f t="shared" si="18"/>
        <v>0</v>
      </c>
      <c r="H124" s="524">
        <f t="shared" si="19"/>
        <v>0</v>
      </c>
      <c r="I124" s="573">
        <f t="shared" si="20"/>
        <v>0</v>
      </c>
      <c r="J124" s="505">
        <f t="shared" si="21"/>
        <v>0</v>
      </c>
      <c r="K124" s="505"/>
      <c r="L124" s="513"/>
      <c r="M124" s="505">
        <f t="shared" si="22"/>
        <v>0</v>
      </c>
      <c r="N124" s="513"/>
      <c r="O124" s="505">
        <f t="shared" si="23"/>
        <v>0</v>
      </c>
      <c r="P124" s="505">
        <f t="shared" si="24"/>
        <v>0</v>
      </c>
      <c r="Q124" s="244"/>
      <c r="R124" s="244"/>
      <c r="S124" s="244"/>
      <c r="T124" s="244"/>
      <c r="U124" s="244"/>
    </row>
    <row r="125" spans="2:21" ht="12.5">
      <c r="B125" s="145" t="str">
        <f t="shared" si="17"/>
        <v/>
      </c>
      <c r="C125" s="496">
        <f>IF(D94="","-",+C124+1)</f>
        <v>2037</v>
      </c>
      <c r="D125" s="350">
        <f>IF(F124+SUM(E$100:E124)=D$93,F124,D$93-SUM(E$100:E124))</f>
        <v>0</v>
      </c>
      <c r="E125" s="510">
        <f>IF(+J97&lt;F124,J97,D125)</f>
        <v>0</v>
      </c>
      <c r="F125" s="511">
        <f t="shared" si="25"/>
        <v>0</v>
      </c>
      <c r="G125" s="511">
        <f t="shared" si="18"/>
        <v>0</v>
      </c>
      <c r="H125" s="524">
        <f t="shared" si="19"/>
        <v>0</v>
      </c>
      <c r="I125" s="573">
        <f t="shared" si="20"/>
        <v>0</v>
      </c>
      <c r="J125" s="505">
        <f t="shared" si="21"/>
        <v>0</v>
      </c>
      <c r="K125" s="505"/>
      <c r="L125" s="513"/>
      <c r="M125" s="505">
        <f t="shared" si="22"/>
        <v>0</v>
      </c>
      <c r="N125" s="513"/>
      <c r="O125" s="505">
        <f t="shared" si="23"/>
        <v>0</v>
      </c>
      <c r="P125" s="505">
        <f t="shared" si="24"/>
        <v>0</v>
      </c>
      <c r="Q125" s="244"/>
      <c r="R125" s="244"/>
      <c r="S125" s="244"/>
      <c r="T125" s="244"/>
      <c r="U125" s="244"/>
    </row>
    <row r="126" spans="2:21" ht="12.5">
      <c r="B126" s="145" t="str">
        <f t="shared" si="17"/>
        <v/>
      </c>
      <c r="C126" s="496">
        <f>IF(D94="","-",+C125+1)</f>
        <v>2038</v>
      </c>
      <c r="D126" s="350">
        <f>IF(F125+SUM(E$100:E125)=D$93,F125,D$93-SUM(E$100:E125))</f>
        <v>0</v>
      </c>
      <c r="E126" s="510">
        <f>IF(+J97&lt;F125,J97,D126)</f>
        <v>0</v>
      </c>
      <c r="F126" s="511">
        <f t="shared" si="25"/>
        <v>0</v>
      </c>
      <c r="G126" s="511">
        <f t="shared" si="18"/>
        <v>0</v>
      </c>
      <c r="H126" s="524">
        <f t="shared" si="19"/>
        <v>0</v>
      </c>
      <c r="I126" s="573">
        <f t="shared" si="20"/>
        <v>0</v>
      </c>
      <c r="J126" s="505">
        <f t="shared" si="21"/>
        <v>0</v>
      </c>
      <c r="K126" s="505"/>
      <c r="L126" s="513"/>
      <c r="M126" s="505">
        <f t="shared" si="22"/>
        <v>0</v>
      </c>
      <c r="N126" s="513"/>
      <c r="O126" s="505">
        <f t="shared" si="23"/>
        <v>0</v>
      </c>
      <c r="P126" s="505">
        <f t="shared" si="24"/>
        <v>0</v>
      </c>
      <c r="Q126" s="244"/>
      <c r="R126" s="244"/>
      <c r="S126" s="244"/>
      <c r="T126" s="244"/>
      <c r="U126" s="244"/>
    </row>
    <row r="127" spans="2:21" ht="12.5">
      <c r="B127" s="145" t="str">
        <f t="shared" si="17"/>
        <v/>
      </c>
      <c r="C127" s="496">
        <f>IF(D94="","-",+C126+1)</f>
        <v>2039</v>
      </c>
      <c r="D127" s="350">
        <f>IF(F126+SUM(E$100:E126)=D$93,F126,D$93-SUM(E$100:E126))</f>
        <v>0</v>
      </c>
      <c r="E127" s="510">
        <f>IF(+J97&lt;F126,J97,D127)</f>
        <v>0</v>
      </c>
      <c r="F127" s="511">
        <f t="shared" si="25"/>
        <v>0</v>
      </c>
      <c r="G127" s="511">
        <f t="shared" si="18"/>
        <v>0</v>
      </c>
      <c r="H127" s="524">
        <f t="shared" si="19"/>
        <v>0</v>
      </c>
      <c r="I127" s="573">
        <f t="shared" si="20"/>
        <v>0</v>
      </c>
      <c r="J127" s="505">
        <f t="shared" si="21"/>
        <v>0</v>
      </c>
      <c r="K127" s="505"/>
      <c r="L127" s="513"/>
      <c r="M127" s="505">
        <f t="shared" si="22"/>
        <v>0</v>
      </c>
      <c r="N127" s="513"/>
      <c r="O127" s="505">
        <f t="shared" si="23"/>
        <v>0</v>
      </c>
      <c r="P127" s="505">
        <f t="shared" si="24"/>
        <v>0</v>
      </c>
      <c r="Q127" s="244"/>
      <c r="R127" s="244"/>
      <c r="S127" s="244"/>
      <c r="T127" s="244"/>
      <c r="U127" s="244"/>
    </row>
    <row r="128" spans="2:21" ht="12.5">
      <c r="B128" s="145" t="str">
        <f t="shared" si="17"/>
        <v/>
      </c>
      <c r="C128" s="496">
        <f>IF(D94="","-",+C127+1)</f>
        <v>2040</v>
      </c>
      <c r="D128" s="350">
        <f>IF(F127+SUM(E$100:E127)=D$93,F127,D$93-SUM(E$100:E127))</f>
        <v>0</v>
      </c>
      <c r="E128" s="510">
        <f>IF(+J97&lt;F127,J97,D128)</f>
        <v>0</v>
      </c>
      <c r="F128" s="511">
        <f t="shared" si="25"/>
        <v>0</v>
      </c>
      <c r="G128" s="511">
        <f t="shared" si="18"/>
        <v>0</v>
      </c>
      <c r="H128" s="524">
        <f t="shared" si="19"/>
        <v>0</v>
      </c>
      <c r="I128" s="573">
        <f t="shared" si="20"/>
        <v>0</v>
      </c>
      <c r="J128" s="505">
        <f t="shared" si="21"/>
        <v>0</v>
      </c>
      <c r="K128" s="505"/>
      <c r="L128" s="513"/>
      <c r="M128" s="505">
        <f t="shared" si="22"/>
        <v>0</v>
      </c>
      <c r="N128" s="513"/>
      <c r="O128" s="505">
        <f t="shared" si="23"/>
        <v>0</v>
      </c>
      <c r="P128" s="505">
        <f t="shared" si="24"/>
        <v>0</v>
      </c>
      <c r="Q128" s="244"/>
      <c r="R128" s="244"/>
      <c r="S128" s="244"/>
      <c r="T128" s="244"/>
      <c r="U128" s="244"/>
    </row>
    <row r="129" spans="2:21" ht="12.5">
      <c r="B129" s="145" t="str">
        <f t="shared" si="17"/>
        <v/>
      </c>
      <c r="C129" s="496">
        <f>IF(D94="","-",+C128+1)</f>
        <v>2041</v>
      </c>
      <c r="D129" s="350">
        <f>IF(F128+SUM(E$100:E128)=D$93,F128,D$93-SUM(E$100:E128))</f>
        <v>0</v>
      </c>
      <c r="E129" s="510">
        <f>IF(+J97&lt;F128,J97,D129)</f>
        <v>0</v>
      </c>
      <c r="F129" s="511">
        <f t="shared" si="25"/>
        <v>0</v>
      </c>
      <c r="G129" s="511">
        <f t="shared" si="18"/>
        <v>0</v>
      </c>
      <c r="H129" s="524">
        <f t="shared" si="19"/>
        <v>0</v>
      </c>
      <c r="I129" s="573">
        <f t="shared" si="20"/>
        <v>0</v>
      </c>
      <c r="J129" s="505">
        <f t="shared" si="21"/>
        <v>0</v>
      </c>
      <c r="K129" s="505"/>
      <c r="L129" s="513"/>
      <c r="M129" s="505">
        <f t="shared" si="22"/>
        <v>0</v>
      </c>
      <c r="N129" s="513"/>
      <c r="O129" s="505">
        <f t="shared" si="23"/>
        <v>0</v>
      </c>
      <c r="P129" s="505">
        <f t="shared" si="24"/>
        <v>0</v>
      </c>
      <c r="Q129" s="244"/>
      <c r="R129" s="244"/>
      <c r="S129" s="244"/>
      <c r="T129" s="244"/>
      <c r="U129" s="244"/>
    </row>
    <row r="130" spans="2:21" ht="12.5">
      <c r="B130" s="145" t="str">
        <f t="shared" si="17"/>
        <v/>
      </c>
      <c r="C130" s="496">
        <f>IF(D94="","-",+C129+1)</f>
        <v>2042</v>
      </c>
      <c r="D130" s="350">
        <f>IF(F129+SUM(E$100:E129)=D$93,F129,D$93-SUM(E$100:E129))</f>
        <v>0</v>
      </c>
      <c r="E130" s="510">
        <f>IF(+J97&lt;F129,J97,D130)</f>
        <v>0</v>
      </c>
      <c r="F130" s="511">
        <f t="shared" si="25"/>
        <v>0</v>
      </c>
      <c r="G130" s="511">
        <f t="shared" si="18"/>
        <v>0</v>
      </c>
      <c r="H130" s="524">
        <f t="shared" si="19"/>
        <v>0</v>
      </c>
      <c r="I130" s="573">
        <f t="shared" si="20"/>
        <v>0</v>
      </c>
      <c r="J130" s="505">
        <f t="shared" si="21"/>
        <v>0</v>
      </c>
      <c r="K130" s="505"/>
      <c r="L130" s="513"/>
      <c r="M130" s="505">
        <f t="shared" si="22"/>
        <v>0</v>
      </c>
      <c r="N130" s="513"/>
      <c r="O130" s="505">
        <f t="shared" si="23"/>
        <v>0</v>
      </c>
      <c r="P130" s="505">
        <f t="shared" si="24"/>
        <v>0</v>
      </c>
      <c r="Q130" s="244"/>
      <c r="R130" s="244"/>
      <c r="S130" s="244"/>
      <c r="T130" s="244"/>
      <c r="U130" s="244"/>
    </row>
    <row r="131" spans="2:21" ht="12.5">
      <c r="B131" s="145" t="str">
        <f t="shared" si="17"/>
        <v/>
      </c>
      <c r="C131" s="496">
        <f>IF(D94="","-",+C130+1)</f>
        <v>2043</v>
      </c>
      <c r="D131" s="350">
        <f>IF(F130+SUM(E$100:E130)=D$93,F130,D$93-SUM(E$100:E130))</f>
        <v>0</v>
      </c>
      <c r="E131" s="510">
        <f>IF(+J97&lt;F130,J97,D131)</f>
        <v>0</v>
      </c>
      <c r="F131" s="511">
        <f t="shared" si="25"/>
        <v>0</v>
      </c>
      <c r="G131" s="511">
        <f t="shared" si="18"/>
        <v>0</v>
      </c>
      <c r="H131" s="524">
        <f t="shared" si="19"/>
        <v>0</v>
      </c>
      <c r="I131" s="573">
        <f t="shared" si="20"/>
        <v>0</v>
      </c>
      <c r="J131" s="505">
        <f t="shared" si="21"/>
        <v>0</v>
      </c>
      <c r="K131" s="505"/>
      <c r="L131" s="513"/>
      <c r="M131" s="505">
        <f t="shared" si="22"/>
        <v>0</v>
      </c>
      <c r="N131" s="513"/>
      <c r="O131" s="505">
        <f t="shared" si="23"/>
        <v>0</v>
      </c>
      <c r="P131" s="505">
        <f t="shared" si="24"/>
        <v>0</v>
      </c>
      <c r="Q131" s="244"/>
      <c r="R131" s="244"/>
      <c r="S131" s="244"/>
      <c r="T131" s="244"/>
      <c r="U131" s="244"/>
    </row>
    <row r="132" spans="2:21" ht="12.5">
      <c r="B132" s="145" t="str">
        <f t="shared" ref="B132:B155" si="26">IF(D132=F131,"","IU")</f>
        <v/>
      </c>
      <c r="C132" s="496">
        <f>IF(D94="","-",+C131+1)</f>
        <v>2044</v>
      </c>
      <c r="D132" s="350">
        <f>IF(F131+SUM(E$100:E131)=D$93,F131,D$93-SUM(E$100:E131))</f>
        <v>0</v>
      </c>
      <c r="E132" s="510">
        <f>IF(+J97&lt;F131,J97,D132)</f>
        <v>0</v>
      </c>
      <c r="F132" s="511">
        <f t="shared" si="25"/>
        <v>0</v>
      </c>
      <c r="G132" s="511">
        <f t="shared" ref="G132:G155" si="27">+(F132+D132)/2</f>
        <v>0</v>
      </c>
      <c r="H132" s="524">
        <f t="shared" ref="H132:H155" si="28">+J$95*G132+E132</f>
        <v>0</v>
      </c>
      <c r="I132" s="573">
        <f t="shared" ref="I132:I155" si="29">+J$96*G132+E132</f>
        <v>0</v>
      </c>
      <c r="J132" s="505">
        <f t="shared" ref="J132:J155" si="30">+I132-H132</f>
        <v>0</v>
      </c>
      <c r="K132" s="505"/>
      <c r="L132" s="513"/>
      <c r="M132" s="505">
        <f t="shared" ref="M132:M155" si="31">IF(L132&lt;&gt;0,+H132-L132,0)</f>
        <v>0</v>
      </c>
      <c r="N132" s="513"/>
      <c r="O132" s="505">
        <f t="shared" ref="O132:O155" si="32">IF(N132&lt;&gt;0,+I132-N132,0)</f>
        <v>0</v>
      </c>
      <c r="P132" s="505">
        <f t="shared" ref="P132:P155" si="33">+O132-M132</f>
        <v>0</v>
      </c>
      <c r="Q132" s="244"/>
      <c r="R132" s="244"/>
      <c r="S132" s="244"/>
      <c r="T132" s="244"/>
      <c r="U132" s="244"/>
    </row>
    <row r="133" spans="2:21" ht="12.5">
      <c r="B133" s="145" t="str">
        <f t="shared" si="26"/>
        <v/>
      </c>
      <c r="C133" s="496">
        <f>IF(D94="","-",+C132+1)</f>
        <v>2045</v>
      </c>
      <c r="D133" s="350">
        <f>IF(F132+SUM(E$100:E132)=D$93,F132,D$93-SUM(E$100:E132))</f>
        <v>0</v>
      </c>
      <c r="E133" s="510">
        <f>IF(+J97&lt;F132,J97,D133)</f>
        <v>0</v>
      </c>
      <c r="F133" s="511">
        <f t="shared" ref="F133:F155" si="34">+D133-E133</f>
        <v>0</v>
      </c>
      <c r="G133" s="511">
        <f t="shared" si="27"/>
        <v>0</v>
      </c>
      <c r="H133" s="524">
        <f t="shared" si="28"/>
        <v>0</v>
      </c>
      <c r="I133" s="573">
        <f t="shared" si="29"/>
        <v>0</v>
      </c>
      <c r="J133" s="505">
        <f t="shared" si="30"/>
        <v>0</v>
      </c>
      <c r="K133" s="505"/>
      <c r="L133" s="513"/>
      <c r="M133" s="505">
        <f t="shared" si="31"/>
        <v>0</v>
      </c>
      <c r="N133" s="513"/>
      <c r="O133" s="505">
        <f t="shared" si="32"/>
        <v>0</v>
      </c>
      <c r="P133" s="505">
        <f t="shared" si="33"/>
        <v>0</v>
      </c>
      <c r="Q133" s="244"/>
      <c r="R133" s="244"/>
      <c r="S133" s="244"/>
      <c r="T133" s="244"/>
      <c r="U133" s="244"/>
    </row>
    <row r="134" spans="2:21" ht="12.5">
      <c r="B134" s="145" t="str">
        <f t="shared" si="26"/>
        <v/>
      </c>
      <c r="C134" s="496">
        <f>IF(D94="","-",+C133+1)</f>
        <v>2046</v>
      </c>
      <c r="D134" s="350">
        <f>IF(F133+SUM(E$100:E133)=D$93,F133,D$93-SUM(E$100:E133))</f>
        <v>0</v>
      </c>
      <c r="E134" s="510">
        <f>IF(+J97&lt;F133,J97,D134)</f>
        <v>0</v>
      </c>
      <c r="F134" s="511">
        <f t="shared" si="34"/>
        <v>0</v>
      </c>
      <c r="G134" s="511">
        <f t="shared" si="27"/>
        <v>0</v>
      </c>
      <c r="H134" s="524">
        <f t="shared" si="28"/>
        <v>0</v>
      </c>
      <c r="I134" s="573">
        <f t="shared" si="29"/>
        <v>0</v>
      </c>
      <c r="J134" s="505">
        <f t="shared" si="30"/>
        <v>0</v>
      </c>
      <c r="K134" s="505"/>
      <c r="L134" s="513"/>
      <c r="M134" s="505">
        <f t="shared" si="31"/>
        <v>0</v>
      </c>
      <c r="N134" s="513"/>
      <c r="O134" s="505">
        <f t="shared" si="32"/>
        <v>0</v>
      </c>
      <c r="P134" s="505">
        <f t="shared" si="33"/>
        <v>0</v>
      </c>
      <c r="Q134" s="244"/>
      <c r="R134" s="244"/>
      <c r="S134" s="244"/>
      <c r="T134" s="244"/>
      <c r="U134" s="244"/>
    </row>
    <row r="135" spans="2:21" ht="12.5">
      <c r="B135" s="145" t="str">
        <f t="shared" si="26"/>
        <v/>
      </c>
      <c r="C135" s="496">
        <f>IF(D94="","-",+C134+1)</f>
        <v>2047</v>
      </c>
      <c r="D135" s="350">
        <f>IF(F134+SUM(E$100:E134)=D$93,F134,D$93-SUM(E$100:E134))</f>
        <v>0</v>
      </c>
      <c r="E135" s="510">
        <f>IF(+J97&lt;F134,J97,D135)</f>
        <v>0</v>
      </c>
      <c r="F135" s="511">
        <f t="shared" si="34"/>
        <v>0</v>
      </c>
      <c r="G135" s="511">
        <f t="shared" si="27"/>
        <v>0</v>
      </c>
      <c r="H135" s="524">
        <f t="shared" si="28"/>
        <v>0</v>
      </c>
      <c r="I135" s="573">
        <f t="shared" si="29"/>
        <v>0</v>
      </c>
      <c r="J135" s="505">
        <f t="shared" si="30"/>
        <v>0</v>
      </c>
      <c r="K135" s="505"/>
      <c r="L135" s="513"/>
      <c r="M135" s="505">
        <f t="shared" si="31"/>
        <v>0</v>
      </c>
      <c r="N135" s="513"/>
      <c r="O135" s="505">
        <f t="shared" si="32"/>
        <v>0</v>
      </c>
      <c r="P135" s="505">
        <f t="shared" si="33"/>
        <v>0</v>
      </c>
      <c r="Q135" s="244"/>
      <c r="R135" s="244"/>
      <c r="S135" s="244"/>
      <c r="T135" s="244"/>
      <c r="U135" s="244"/>
    </row>
    <row r="136" spans="2:21" ht="12.5">
      <c r="B136" s="145" t="str">
        <f t="shared" si="26"/>
        <v/>
      </c>
      <c r="C136" s="496">
        <f>IF(D94="","-",+C135+1)</f>
        <v>2048</v>
      </c>
      <c r="D136" s="350">
        <f>IF(F135+SUM(E$100:E135)=D$93,F135,D$93-SUM(E$100:E135))</f>
        <v>0</v>
      </c>
      <c r="E136" s="510">
        <f>IF(+J97&lt;F135,J97,D136)</f>
        <v>0</v>
      </c>
      <c r="F136" s="511">
        <f t="shared" si="34"/>
        <v>0</v>
      </c>
      <c r="G136" s="511">
        <f t="shared" si="27"/>
        <v>0</v>
      </c>
      <c r="H136" s="524">
        <f t="shared" si="28"/>
        <v>0</v>
      </c>
      <c r="I136" s="573">
        <f t="shared" si="29"/>
        <v>0</v>
      </c>
      <c r="J136" s="505">
        <f t="shared" si="30"/>
        <v>0</v>
      </c>
      <c r="K136" s="505"/>
      <c r="L136" s="513"/>
      <c r="M136" s="505">
        <f t="shared" si="31"/>
        <v>0</v>
      </c>
      <c r="N136" s="513"/>
      <c r="O136" s="505">
        <f t="shared" si="32"/>
        <v>0</v>
      </c>
      <c r="P136" s="505">
        <f t="shared" si="33"/>
        <v>0</v>
      </c>
      <c r="Q136" s="244"/>
      <c r="R136" s="244"/>
      <c r="S136" s="244"/>
      <c r="T136" s="244"/>
      <c r="U136" s="244"/>
    </row>
    <row r="137" spans="2:21" ht="12.5">
      <c r="B137" s="145" t="str">
        <f t="shared" si="26"/>
        <v/>
      </c>
      <c r="C137" s="496">
        <f>IF(D94="","-",+C136+1)</f>
        <v>2049</v>
      </c>
      <c r="D137" s="350">
        <f>IF(F136+SUM(E$100:E136)=D$93,F136,D$93-SUM(E$100:E136))</f>
        <v>0</v>
      </c>
      <c r="E137" s="510">
        <f>IF(+J97&lt;F136,J97,D137)</f>
        <v>0</v>
      </c>
      <c r="F137" s="511">
        <f t="shared" si="34"/>
        <v>0</v>
      </c>
      <c r="G137" s="511">
        <f t="shared" si="27"/>
        <v>0</v>
      </c>
      <c r="H137" s="524">
        <f t="shared" si="28"/>
        <v>0</v>
      </c>
      <c r="I137" s="573">
        <f t="shared" si="29"/>
        <v>0</v>
      </c>
      <c r="J137" s="505">
        <f t="shared" si="30"/>
        <v>0</v>
      </c>
      <c r="K137" s="505"/>
      <c r="L137" s="513"/>
      <c r="M137" s="505">
        <f t="shared" si="31"/>
        <v>0</v>
      </c>
      <c r="N137" s="513"/>
      <c r="O137" s="505">
        <f t="shared" si="32"/>
        <v>0</v>
      </c>
      <c r="P137" s="505">
        <f t="shared" si="33"/>
        <v>0</v>
      </c>
      <c r="Q137" s="244"/>
      <c r="R137" s="244"/>
      <c r="S137" s="244"/>
      <c r="T137" s="244"/>
      <c r="U137" s="244"/>
    </row>
    <row r="138" spans="2:21" ht="12.5">
      <c r="B138" s="145" t="str">
        <f t="shared" si="26"/>
        <v/>
      </c>
      <c r="C138" s="496">
        <f>IF(D94="","-",+C137+1)</f>
        <v>2050</v>
      </c>
      <c r="D138" s="350">
        <f>IF(F137+SUM(E$100:E137)=D$93,F137,D$93-SUM(E$100:E137))</f>
        <v>0</v>
      </c>
      <c r="E138" s="510">
        <f>IF(+J97&lt;F137,J97,D138)</f>
        <v>0</v>
      </c>
      <c r="F138" s="511">
        <f t="shared" si="34"/>
        <v>0</v>
      </c>
      <c r="G138" s="511">
        <f t="shared" si="27"/>
        <v>0</v>
      </c>
      <c r="H138" s="524">
        <f t="shared" si="28"/>
        <v>0</v>
      </c>
      <c r="I138" s="573">
        <f t="shared" si="29"/>
        <v>0</v>
      </c>
      <c r="J138" s="505">
        <f t="shared" si="30"/>
        <v>0</v>
      </c>
      <c r="K138" s="505"/>
      <c r="L138" s="513"/>
      <c r="M138" s="505">
        <f t="shared" si="31"/>
        <v>0</v>
      </c>
      <c r="N138" s="513"/>
      <c r="O138" s="505">
        <f t="shared" si="32"/>
        <v>0</v>
      </c>
      <c r="P138" s="505">
        <f t="shared" si="33"/>
        <v>0</v>
      </c>
      <c r="Q138" s="244"/>
      <c r="R138" s="244"/>
      <c r="S138" s="244"/>
      <c r="T138" s="244"/>
      <c r="U138" s="244"/>
    </row>
    <row r="139" spans="2:21" ht="12.5">
      <c r="B139" s="145" t="str">
        <f t="shared" si="26"/>
        <v/>
      </c>
      <c r="C139" s="496">
        <f>IF(D94="","-",+C138+1)</f>
        <v>2051</v>
      </c>
      <c r="D139" s="350">
        <f>IF(F138+SUM(E$100:E138)=D$93,F138,D$93-SUM(E$100:E138))</f>
        <v>0</v>
      </c>
      <c r="E139" s="510">
        <f>IF(+J97&lt;F138,J97,D139)</f>
        <v>0</v>
      </c>
      <c r="F139" s="511">
        <f t="shared" si="34"/>
        <v>0</v>
      </c>
      <c r="G139" s="511">
        <f t="shared" si="27"/>
        <v>0</v>
      </c>
      <c r="H139" s="524">
        <f t="shared" si="28"/>
        <v>0</v>
      </c>
      <c r="I139" s="573">
        <f t="shared" si="29"/>
        <v>0</v>
      </c>
      <c r="J139" s="505">
        <f t="shared" si="30"/>
        <v>0</v>
      </c>
      <c r="K139" s="505"/>
      <c r="L139" s="513"/>
      <c r="M139" s="505">
        <f t="shared" si="31"/>
        <v>0</v>
      </c>
      <c r="N139" s="513"/>
      <c r="O139" s="505">
        <f t="shared" si="32"/>
        <v>0</v>
      </c>
      <c r="P139" s="505">
        <f t="shared" si="33"/>
        <v>0</v>
      </c>
      <c r="Q139" s="244"/>
      <c r="R139" s="244"/>
      <c r="S139" s="244"/>
      <c r="T139" s="244"/>
      <c r="U139" s="244"/>
    </row>
    <row r="140" spans="2:21" ht="12.5">
      <c r="B140" s="145" t="str">
        <f t="shared" si="26"/>
        <v/>
      </c>
      <c r="C140" s="496">
        <f>IF(D94="","-",+C139+1)</f>
        <v>2052</v>
      </c>
      <c r="D140" s="350">
        <f>IF(F139+SUM(E$100:E139)=D$93,F139,D$93-SUM(E$100:E139))</f>
        <v>0</v>
      </c>
      <c r="E140" s="510">
        <f>IF(+J97&lt;F139,J97,D140)</f>
        <v>0</v>
      </c>
      <c r="F140" s="511">
        <f t="shared" si="34"/>
        <v>0</v>
      </c>
      <c r="G140" s="511">
        <f t="shared" si="27"/>
        <v>0</v>
      </c>
      <c r="H140" s="524">
        <f t="shared" si="28"/>
        <v>0</v>
      </c>
      <c r="I140" s="573">
        <f t="shared" si="29"/>
        <v>0</v>
      </c>
      <c r="J140" s="505">
        <f t="shared" si="30"/>
        <v>0</v>
      </c>
      <c r="K140" s="505"/>
      <c r="L140" s="513"/>
      <c r="M140" s="505">
        <f t="shared" si="31"/>
        <v>0</v>
      </c>
      <c r="N140" s="513"/>
      <c r="O140" s="505">
        <f t="shared" si="32"/>
        <v>0</v>
      </c>
      <c r="P140" s="505">
        <f t="shared" si="33"/>
        <v>0</v>
      </c>
      <c r="Q140" s="244"/>
      <c r="R140" s="244"/>
      <c r="S140" s="244"/>
      <c r="T140" s="244"/>
      <c r="U140" s="244"/>
    </row>
    <row r="141" spans="2:21" ht="12.5">
      <c r="B141" s="145" t="str">
        <f t="shared" si="26"/>
        <v/>
      </c>
      <c r="C141" s="496">
        <f>IF(D94="","-",+C140+1)</f>
        <v>2053</v>
      </c>
      <c r="D141" s="350">
        <f>IF(F140+SUM(E$100:E140)=D$93,F140,D$93-SUM(E$100:E140))</f>
        <v>0</v>
      </c>
      <c r="E141" s="510">
        <f>IF(+J97&lt;F140,J97,D141)</f>
        <v>0</v>
      </c>
      <c r="F141" s="511">
        <f t="shared" si="34"/>
        <v>0</v>
      </c>
      <c r="G141" s="511">
        <f t="shared" si="27"/>
        <v>0</v>
      </c>
      <c r="H141" s="524">
        <f t="shared" si="28"/>
        <v>0</v>
      </c>
      <c r="I141" s="573">
        <f t="shared" si="29"/>
        <v>0</v>
      </c>
      <c r="J141" s="505">
        <f t="shared" si="30"/>
        <v>0</v>
      </c>
      <c r="K141" s="505"/>
      <c r="L141" s="513"/>
      <c r="M141" s="505">
        <f t="shared" si="31"/>
        <v>0</v>
      </c>
      <c r="N141" s="513"/>
      <c r="O141" s="505">
        <f t="shared" si="32"/>
        <v>0</v>
      </c>
      <c r="P141" s="505">
        <f t="shared" si="33"/>
        <v>0</v>
      </c>
      <c r="Q141" s="244"/>
      <c r="R141" s="244"/>
      <c r="S141" s="244"/>
      <c r="T141" s="244"/>
      <c r="U141" s="244"/>
    </row>
    <row r="142" spans="2:21" ht="12.5">
      <c r="B142" s="145" t="str">
        <f t="shared" si="26"/>
        <v/>
      </c>
      <c r="C142" s="496">
        <f>IF(D94="","-",+C141+1)</f>
        <v>2054</v>
      </c>
      <c r="D142" s="350">
        <f>IF(F141+SUM(E$100:E141)=D$93,F141,D$93-SUM(E$100:E141))</f>
        <v>0</v>
      </c>
      <c r="E142" s="510">
        <f>IF(+J97&lt;F141,J97,D142)</f>
        <v>0</v>
      </c>
      <c r="F142" s="511">
        <f t="shared" si="34"/>
        <v>0</v>
      </c>
      <c r="G142" s="511">
        <f t="shared" si="27"/>
        <v>0</v>
      </c>
      <c r="H142" s="524">
        <f t="shared" si="28"/>
        <v>0</v>
      </c>
      <c r="I142" s="573">
        <f t="shared" si="29"/>
        <v>0</v>
      </c>
      <c r="J142" s="505">
        <f t="shared" si="30"/>
        <v>0</v>
      </c>
      <c r="K142" s="505"/>
      <c r="L142" s="513"/>
      <c r="M142" s="505">
        <f t="shared" si="31"/>
        <v>0</v>
      </c>
      <c r="N142" s="513"/>
      <c r="O142" s="505">
        <f t="shared" si="32"/>
        <v>0</v>
      </c>
      <c r="P142" s="505">
        <f t="shared" si="33"/>
        <v>0</v>
      </c>
      <c r="Q142" s="244"/>
      <c r="R142" s="244"/>
      <c r="S142" s="244"/>
      <c r="T142" s="244"/>
      <c r="U142" s="244"/>
    </row>
    <row r="143" spans="2:21" ht="12.5">
      <c r="B143" s="145" t="str">
        <f t="shared" si="26"/>
        <v/>
      </c>
      <c r="C143" s="496">
        <f>IF(D94="","-",+C142+1)</f>
        <v>2055</v>
      </c>
      <c r="D143" s="350">
        <f>IF(F142+SUM(E$100:E142)=D$93,F142,D$93-SUM(E$100:E142))</f>
        <v>0</v>
      </c>
      <c r="E143" s="510">
        <f>IF(+J97&lt;F142,J97,D143)</f>
        <v>0</v>
      </c>
      <c r="F143" s="511">
        <f t="shared" si="34"/>
        <v>0</v>
      </c>
      <c r="G143" s="511">
        <f t="shared" si="27"/>
        <v>0</v>
      </c>
      <c r="H143" s="524">
        <f t="shared" si="28"/>
        <v>0</v>
      </c>
      <c r="I143" s="573">
        <f t="shared" si="29"/>
        <v>0</v>
      </c>
      <c r="J143" s="505">
        <f t="shared" si="30"/>
        <v>0</v>
      </c>
      <c r="K143" s="505"/>
      <c r="L143" s="513"/>
      <c r="M143" s="505">
        <f t="shared" si="31"/>
        <v>0</v>
      </c>
      <c r="N143" s="513"/>
      <c r="O143" s="505">
        <f t="shared" si="32"/>
        <v>0</v>
      </c>
      <c r="P143" s="505">
        <f t="shared" si="33"/>
        <v>0</v>
      </c>
      <c r="Q143" s="244"/>
      <c r="R143" s="244"/>
      <c r="S143" s="244"/>
      <c r="T143" s="244"/>
      <c r="U143" s="244"/>
    </row>
    <row r="144" spans="2:21" ht="12.5">
      <c r="B144" s="145" t="str">
        <f t="shared" si="26"/>
        <v/>
      </c>
      <c r="C144" s="496">
        <f>IF(D94="","-",+C143+1)</f>
        <v>2056</v>
      </c>
      <c r="D144" s="350">
        <f>IF(F143+SUM(E$100:E143)=D$93,F143,D$93-SUM(E$100:E143))</f>
        <v>0</v>
      </c>
      <c r="E144" s="510">
        <f>IF(+J97&lt;F143,J97,D144)</f>
        <v>0</v>
      </c>
      <c r="F144" s="511">
        <f t="shared" si="34"/>
        <v>0</v>
      </c>
      <c r="G144" s="511">
        <f t="shared" si="27"/>
        <v>0</v>
      </c>
      <c r="H144" s="524">
        <f t="shared" si="28"/>
        <v>0</v>
      </c>
      <c r="I144" s="573">
        <f t="shared" si="29"/>
        <v>0</v>
      </c>
      <c r="J144" s="505">
        <f t="shared" si="30"/>
        <v>0</v>
      </c>
      <c r="K144" s="505"/>
      <c r="L144" s="513"/>
      <c r="M144" s="505">
        <f t="shared" si="31"/>
        <v>0</v>
      </c>
      <c r="N144" s="513"/>
      <c r="O144" s="505">
        <f t="shared" si="32"/>
        <v>0</v>
      </c>
      <c r="P144" s="505">
        <f t="shared" si="33"/>
        <v>0</v>
      </c>
      <c r="Q144" s="244"/>
      <c r="R144" s="244"/>
      <c r="S144" s="244"/>
      <c r="T144" s="244"/>
      <c r="U144" s="244"/>
    </row>
    <row r="145" spans="2:21" ht="12.5">
      <c r="B145" s="145" t="str">
        <f t="shared" si="26"/>
        <v/>
      </c>
      <c r="C145" s="496">
        <f>IF(D94="","-",+C144+1)</f>
        <v>2057</v>
      </c>
      <c r="D145" s="350">
        <f>IF(F144+SUM(E$100:E144)=D$93,F144,D$93-SUM(E$100:E144))</f>
        <v>0</v>
      </c>
      <c r="E145" s="510">
        <f>IF(+J97&lt;F144,J97,D145)</f>
        <v>0</v>
      </c>
      <c r="F145" s="511">
        <f t="shared" si="34"/>
        <v>0</v>
      </c>
      <c r="G145" s="511">
        <f t="shared" si="27"/>
        <v>0</v>
      </c>
      <c r="H145" s="524">
        <f t="shared" si="28"/>
        <v>0</v>
      </c>
      <c r="I145" s="573">
        <f t="shared" si="29"/>
        <v>0</v>
      </c>
      <c r="J145" s="505">
        <f t="shared" si="30"/>
        <v>0</v>
      </c>
      <c r="K145" s="505"/>
      <c r="L145" s="513"/>
      <c r="M145" s="505">
        <f t="shared" si="31"/>
        <v>0</v>
      </c>
      <c r="N145" s="513"/>
      <c r="O145" s="505">
        <f t="shared" si="32"/>
        <v>0</v>
      </c>
      <c r="P145" s="505">
        <f t="shared" si="33"/>
        <v>0</v>
      </c>
      <c r="Q145" s="244"/>
      <c r="R145" s="244"/>
      <c r="S145" s="244"/>
      <c r="T145" s="244"/>
      <c r="U145" s="244"/>
    </row>
    <row r="146" spans="2:21" ht="12.5">
      <c r="B146" s="145" t="str">
        <f t="shared" si="26"/>
        <v/>
      </c>
      <c r="C146" s="496">
        <f>IF(D94="","-",+C145+1)</f>
        <v>2058</v>
      </c>
      <c r="D146" s="350">
        <f>IF(F145+SUM(E$100:E145)=D$93,F145,D$93-SUM(E$100:E145))</f>
        <v>0</v>
      </c>
      <c r="E146" s="510">
        <f>IF(+J97&lt;F145,J97,D146)</f>
        <v>0</v>
      </c>
      <c r="F146" s="511">
        <f t="shared" si="34"/>
        <v>0</v>
      </c>
      <c r="G146" s="511">
        <f t="shared" si="27"/>
        <v>0</v>
      </c>
      <c r="H146" s="524">
        <f t="shared" si="28"/>
        <v>0</v>
      </c>
      <c r="I146" s="573">
        <f t="shared" si="29"/>
        <v>0</v>
      </c>
      <c r="J146" s="505">
        <f t="shared" si="30"/>
        <v>0</v>
      </c>
      <c r="K146" s="505"/>
      <c r="L146" s="513"/>
      <c r="M146" s="505">
        <f t="shared" si="31"/>
        <v>0</v>
      </c>
      <c r="N146" s="513"/>
      <c r="O146" s="505">
        <f t="shared" si="32"/>
        <v>0</v>
      </c>
      <c r="P146" s="505">
        <f t="shared" si="33"/>
        <v>0</v>
      </c>
      <c r="Q146" s="244"/>
      <c r="R146" s="244"/>
      <c r="S146" s="244"/>
      <c r="T146" s="244"/>
      <c r="U146" s="244"/>
    </row>
    <row r="147" spans="2:21" ht="12.5">
      <c r="B147" s="145" t="str">
        <f t="shared" si="26"/>
        <v/>
      </c>
      <c r="C147" s="496">
        <f>IF(D94="","-",+C146+1)</f>
        <v>2059</v>
      </c>
      <c r="D147" s="350">
        <f>IF(F146+SUM(E$100:E146)=D$93,F146,D$93-SUM(E$100:E146))</f>
        <v>0</v>
      </c>
      <c r="E147" s="510">
        <f>IF(+J97&lt;F146,J97,D147)</f>
        <v>0</v>
      </c>
      <c r="F147" s="511">
        <f t="shared" si="34"/>
        <v>0</v>
      </c>
      <c r="G147" s="511">
        <f t="shared" si="27"/>
        <v>0</v>
      </c>
      <c r="H147" s="524">
        <f t="shared" si="28"/>
        <v>0</v>
      </c>
      <c r="I147" s="573">
        <f t="shared" si="29"/>
        <v>0</v>
      </c>
      <c r="J147" s="505">
        <f t="shared" si="30"/>
        <v>0</v>
      </c>
      <c r="K147" s="505"/>
      <c r="L147" s="513"/>
      <c r="M147" s="505">
        <f t="shared" si="31"/>
        <v>0</v>
      </c>
      <c r="N147" s="513"/>
      <c r="O147" s="505">
        <f t="shared" si="32"/>
        <v>0</v>
      </c>
      <c r="P147" s="505">
        <f t="shared" si="33"/>
        <v>0</v>
      </c>
      <c r="Q147" s="244"/>
      <c r="R147" s="244"/>
      <c r="S147" s="244"/>
      <c r="T147" s="244"/>
      <c r="U147" s="244"/>
    </row>
    <row r="148" spans="2:21" ht="12.5">
      <c r="B148" s="145" t="str">
        <f t="shared" si="26"/>
        <v/>
      </c>
      <c r="C148" s="496">
        <f>IF(D94="","-",+C147+1)</f>
        <v>2060</v>
      </c>
      <c r="D148" s="350">
        <f>IF(F147+SUM(E$100:E147)=D$93,F147,D$93-SUM(E$100:E147))</f>
        <v>0</v>
      </c>
      <c r="E148" s="510">
        <f>IF(+J97&lt;F147,J97,D148)</f>
        <v>0</v>
      </c>
      <c r="F148" s="511">
        <f t="shared" si="34"/>
        <v>0</v>
      </c>
      <c r="G148" s="511">
        <f t="shared" si="27"/>
        <v>0</v>
      </c>
      <c r="H148" s="524">
        <f t="shared" si="28"/>
        <v>0</v>
      </c>
      <c r="I148" s="573">
        <f t="shared" si="29"/>
        <v>0</v>
      </c>
      <c r="J148" s="505">
        <f t="shared" si="30"/>
        <v>0</v>
      </c>
      <c r="K148" s="505"/>
      <c r="L148" s="513"/>
      <c r="M148" s="505">
        <f t="shared" si="31"/>
        <v>0</v>
      </c>
      <c r="N148" s="513"/>
      <c r="O148" s="505">
        <f t="shared" si="32"/>
        <v>0</v>
      </c>
      <c r="P148" s="505">
        <f t="shared" si="33"/>
        <v>0</v>
      </c>
      <c r="Q148" s="244"/>
      <c r="R148" s="244"/>
      <c r="S148" s="244"/>
      <c r="T148" s="244"/>
      <c r="U148" s="244"/>
    </row>
    <row r="149" spans="2:21" ht="12.5">
      <c r="B149" s="145" t="str">
        <f t="shared" si="26"/>
        <v/>
      </c>
      <c r="C149" s="496">
        <f>IF(D94="","-",+C148+1)</f>
        <v>2061</v>
      </c>
      <c r="D149" s="350">
        <f>IF(F148+SUM(E$100:E148)=D$93,F148,D$93-SUM(E$100:E148))</f>
        <v>0</v>
      </c>
      <c r="E149" s="510">
        <f>IF(+J97&lt;F148,J97,D149)</f>
        <v>0</v>
      </c>
      <c r="F149" s="511">
        <f t="shared" si="34"/>
        <v>0</v>
      </c>
      <c r="G149" s="511">
        <f t="shared" si="27"/>
        <v>0</v>
      </c>
      <c r="H149" s="524">
        <f t="shared" si="28"/>
        <v>0</v>
      </c>
      <c r="I149" s="573">
        <f t="shared" si="29"/>
        <v>0</v>
      </c>
      <c r="J149" s="505">
        <f t="shared" si="30"/>
        <v>0</v>
      </c>
      <c r="K149" s="505"/>
      <c r="L149" s="513"/>
      <c r="M149" s="505">
        <f t="shared" si="31"/>
        <v>0</v>
      </c>
      <c r="N149" s="513"/>
      <c r="O149" s="505">
        <f t="shared" si="32"/>
        <v>0</v>
      </c>
      <c r="P149" s="505">
        <f t="shared" si="33"/>
        <v>0</v>
      </c>
      <c r="Q149" s="244"/>
      <c r="R149" s="244"/>
      <c r="S149" s="244"/>
      <c r="T149" s="244"/>
      <c r="U149" s="244"/>
    </row>
    <row r="150" spans="2:21" ht="12.5">
      <c r="B150" s="145" t="str">
        <f t="shared" si="26"/>
        <v/>
      </c>
      <c r="C150" s="496">
        <f>IF(D94="","-",+C149+1)</f>
        <v>2062</v>
      </c>
      <c r="D150" s="350">
        <f>IF(F149+SUM(E$100:E149)=D$93,F149,D$93-SUM(E$100:E149))</f>
        <v>0</v>
      </c>
      <c r="E150" s="510">
        <f>IF(+J97&lt;F149,J97,D150)</f>
        <v>0</v>
      </c>
      <c r="F150" s="511">
        <f t="shared" si="34"/>
        <v>0</v>
      </c>
      <c r="G150" s="511">
        <f t="shared" si="27"/>
        <v>0</v>
      </c>
      <c r="H150" s="524">
        <f t="shared" si="28"/>
        <v>0</v>
      </c>
      <c r="I150" s="573">
        <f t="shared" si="29"/>
        <v>0</v>
      </c>
      <c r="J150" s="505">
        <f t="shared" si="30"/>
        <v>0</v>
      </c>
      <c r="K150" s="505"/>
      <c r="L150" s="513"/>
      <c r="M150" s="505">
        <f t="shared" si="31"/>
        <v>0</v>
      </c>
      <c r="N150" s="513"/>
      <c r="O150" s="505">
        <f t="shared" si="32"/>
        <v>0</v>
      </c>
      <c r="P150" s="505">
        <f t="shared" si="33"/>
        <v>0</v>
      </c>
      <c r="Q150" s="244"/>
      <c r="R150" s="244"/>
      <c r="S150" s="244"/>
      <c r="T150" s="244"/>
      <c r="U150" s="244"/>
    </row>
    <row r="151" spans="2:21" ht="12.5">
      <c r="B151" s="145" t="str">
        <f t="shared" si="26"/>
        <v/>
      </c>
      <c r="C151" s="496">
        <f>IF(D94="","-",+C150+1)</f>
        <v>2063</v>
      </c>
      <c r="D151" s="350">
        <f>IF(F150+SUM(E$100:E150)=D$93,F150,D$93-SUM(E$100:E150))</f>
        <v>0</v>
      </c>
      <c r="E151" s="510">
        <f>IF(+J97&lt;F150,J97,D151)</f>
        <v>0</v>
      </c>
      <c r="F151" s="511">
        <f t="shared" si="34"/>
        <v>0</v>
      </c>
      <c r="G151" s="511">
        <f t="shared" si="27"/>
        <v>0</v>
      </c>
      <c r="H151" s="524">
        <f t="shared" si="28"/>
        <v>0</v>
      </c>
      <c r="I151" s="573">
        <f t="shared" si="29"/>
        <v>0</v>
      </c>
      <c r="J151" s="505">
        <f t="shared" si="30"/>
        <v>0</v>
      </c>
      <c r="K151" s="505"/>
      <c r="L151" s="513"/>
      <c r="M151" s="505">
        <f t="shared" si="31"/>
        <v>0</v>
      </c>
      <c r="N151" s="513"/>
      <c r="O151" s="505">
        <f t="shared" si="32"/>
        <v>0</v>
      </c>
      <c r="P151" s="505">
        <f t="shared" si="33"/>
        <v>0</v>
      </c>
      <c r="Q151" s="244"/>
      <c r="R151" s="244"/>
      <c r="S151" s="244"/>
      <c r="T151" s="244"/>
      <c r="U151" s="244"/>
    </row>
    <row r="152" spans="2:21" ht="12.5">
      <c r="B152" s="145" t="str">
        <f t="shared" si="26"/>
        <v/>
      </c>
      <c r="C152" s="496">
        <f>IF(D94="","-",+C151+1)</f>
        <v>2064</v>
      </c>
      <c r="D152" s="350">
        <f>IF(F151+SUM(E$100:E151)=D$93,F151,D$93-SUM(E$100:E151))</f>
        <v>0</v>
      </c>
      <c r="E152" s="510">
        <f>IF(+J97&lt;F151,J97,D152)</f>
        <v>0</v>
      </c>
      <c r="F152" s="511">
        <f t="shared" si="34"/>
        <v>0</v>
      </c>
      <c r="G152" s="511">
        <f t="shared" si="27"/>
        <v>0</v>
      </c>
      <c r="H152" s="524">
        <f t="shared" si="28"/>
        <v>0</v>
      </c>
      <c r="I152" s="573">
        <f t="shared" si="29"/>
        <v>0</v>
      </c>
      <c r="J152" s="505">
        <f t="shared" si="30"/>
        <v>0</v>
      </c>
      <c r="K152" s="505"/>
      <c r="L152" s="513"/>
      <c r="M152" s="505">
        <f t="shared" si="31"/>
        <v>0</v>
      </c>
      <c r="N152" s="513"/>
      <c r="O152" s="505">
        <f t="shared" si="32"/>
        <v>0</v>
      </c>
      <c r="P152" s="505">
        <f t="shared" si="33"/>
        <v>0</v>
      </c>
      <c r="Q152" s="244"/>
      <c r="R152" s="244"/>
      <c r="S152" s="244"/>
      <c r="T152" s="244"/>
      <c r="U152" s="244"/>
    </row>
    <row r="153" spans="2:21" ht="12.5">
      <c r="B153" s="145" t="str">
        <f t="shared" si="26"/>
        <v/>
      </c>
      <c r="C153" s="496">
        <f>IF(D94="","-",+C152+1)</f>
        <v>2065</v>
      </c>
      <c r="D153" s="350">
        <f>IF(F152+SUM(E$100:E152)=D$93,F152,D$93-SUM(E$100:E152))</f>
        <v>0</v>
      </c>
      <c r="E153" s="510">
        <f>IF(+J97&lt;F152,J97,D153)</f>
        <v>0</v>
      </c>
      <c r="F153" s="511">
        <f t="shared" si="34"/>
        <v>0</v>
      </c>
      <c r="G153" s="511">
        <f t="shared" si="27"/>
        <v>0</v>
      </c>
      <c r="H153" s="524">
        <f t="shared" si="28"/>
        <v>0</v>
      </c>
      <c r="I153" s="573">
        <f t="shared" si="29"/>
        <v>0</v>
      </c>
      <c r="J153" s="505">
        <f t="shared" si="30"/>
        <v>0</v>
      </c>
      <c r="K153" s="505"/>
      <c r="L153" s="513"/>
      <c r="M153" s="505">
        <f t="shared" si="31"/>
        <v>0</v>
      </c>
      <c r="N153" s="513"/>
      <c r="O153" s="505">
        <f t="shared" si="32"/>
        <v>0</v>
      </c>
      <c r="P153" s="505">
        <f t="shared" si="33"/>
        <v>0</v>
      </c>
      <c r="Q153" s="244"/>
      <c r="R153" s="244"/>
      <c r="S153" s="244"/>
      <c r="T153" s="244"/>
      <c r="U153" s="244"/>
    </row>
    <row r="154" spans="2:21" ht="12.5">
      <c r="B154" s="145" t="str">
        <f t="shared" si="26"/>
        <v/>
      </c>
      <c r="C154" s="496">
        <f>IF(D94="","-",+C153+1)</f>
        <v>2066</v>
      </c>
      <c r="D154" s="350">
        <f>IF(F153+SUM(E$100:E153)=D$93,F153,D$93-SUM(E$100:E153))</f>
        <v>0</v>
      </c>
      <c r="E154" s="510">
        <f>IF(+J97&lt;F153,J97,D154)</f>
        <v>0</v>
      </c>
      <c r="F154" s="511">
        <f t="shared" si="34"/>
        <v>0</v>
      </c>
      <c r="G154" s="511">
        <f t="shared" si="27"/>
        <v>0</v>
      </c>
      <c r="H154" s="524">
        <f t="shared" si="28"/>
        <v>0</v>
      </c>
      <c r="I154" s="573">
        <f t="shared" si="29"/>
        <v>0</v>
      </c>
      <c r="J154" s="505">
        <f t="shared" si="30"/>
        <v>0</v>
      </c>
      <c r="K154" s="505"/>
      <c r="L154" s="513"/>
      <c r="M154" s="505">
        <f t="shared" si="31"/>
        <v>0</v>
      </c>
      <c r="N154" s="513"/>
      <c r="O154" s="505">
        <f t="shared" si="32"/>
        <v>0</v>
      </c>
      <c r="P154" s="505">
        <f t="shared" si="33"/>
        <v>0</v>
      </c>
      <c r="Q154" s="244"/>
      <c r="R154" s="244"/>
      <c r="S154" s="244"/>
      <c r="T154" s="244"/>
      <c r="U154" s="244"/>
    </row>
    <row r="155" spans="2:21" ht="13" thickBot="1">
      <c r="B155" s="145" t="str">
        <f t="shared" si="26"/>
        <v/>
      </c>
      <c r="C155" s="525">
        <f>IF(D94="","-",+C154+1)</f>
        <v>2067</v>
      </c>
      <c r="D155" s="528">
        <f>IF(F154+SUM(E$100:E154)=D$93,F154,D$93-SUM(E$100:E154))</f>
        <v>0</v>
      </c>
      <c r="E155" s="527">
        <f>IF(+J97&lt;F154,J97,D155)</f>
        <v>0</v>
      </c>
      <c r="F155" s="528">
        <f t="shared" si="34"/>
        <v>0</v>
      </c>
      <c r="G155" s="528">
        <f t="shared" si="27"/>
        <v>0</v>
      </c>
      <c r="H155" s="529">
        <f t="shared" si="28"/>
        <v>0</v>
      </c>
      <c r="I155" s="574">
        <f t="shared" si="29"/>
        <v>0</v>
      </c>
      <c r="J155" s="532">
        <f t="shared" si="30"/>
        <v>0</v>
      </c>
      <c r="K155" s="505"/>
      <c r="L155" s="531"/>
      <c r="M155" s="532">
        <f t="shared" si="31"/>
        <v>0</v>
      </c>
      <c r="N155" s="531"/>
      <c r="O155" s="532">
        <f t="shared" si="32"/>
        <v>0</v>
      </c>
      <c r="P155" s="532">
        <f t="shared" si="33"/>
        <v>0</v>
      </c>
      <c r="Q155" s="244"/>
      <c r="R155" s="244"/>
      <c r="S155" s="244"/>
      <c r="T155" s="244"/>
      <c r="U155" s="244"/>
    </row>
    <row r="156" spans="2:21" ht="12.5">
      <c r="C156" s="350" t="s">
        <v>75</v>
      </c>
      <c r="D156" s="295"/>
      <c r="E156" s="295">
        <f>SUM(E100:E155)</f>
        <v>0</v>
      </c>
      <c r="F156" s="295"/>
      <c r="G156" s="295"/>
      <c r="H156" s="295">
        <f>SUM(H100:H155)</f>
        <v>0</v>
      </c>
      <c r="I156" s="295">
        <f>SUM(I100:I155)</f>
        <v>0</v>
      </c>
      <c r="J156" s="295">
        <f>SUM(J100:J155)</f>
        <v>0</v>
      </c>
      <c r="K156" s="295"/>
      <c r="L156" s="295"/>
      <c r="M156" s="295"/>
      <c r="N156" s="295"/>
      <c r="O156" s="295"/>
      <c r="P156" s="244"/>
      <c r="Q156" s="244"/>
      <c r="R156" s="244"/>
      <c r="S156" s="244"/>
      <c r="T156" s="244"/>
      <c r="U156" s="244"/>
    </row>
    <row r="157" spans="2:21" ht="12.5">
      <c r="D157" s="293"/>
      <c r="E157" s="244"/>
      <c r="F157" s="244"/>
      <c r="G157" s="244"/>
      <c r="H157" s="244"/>
      <c r="I157" s="326"/>
      <c r="J157" s="326"/>
      <c r="K157" s="295"/>
      <c r="L157" s="326"/>
      <c r="M157" s="326"/>
      <c r="N157" s="326"/>
      <c r="O157" s="326"/>
      <c r="P157" s="244"/>
      <c r="Q157" s="244"/>
      <c r="R157" s="244"/>
      <c r="S157" s="244"/>
      <c r="T157" s="244"/>
      <c r="U157" s="244"/>
    </row>
    <row r="158" spans="2:21" ht="12.5">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ht="12.5">
      <c r="D159" s="293"/>
      <c r="E159" s="244"/>
      <c r="F159" s="244"/>
      <c r="G159" s="244"/>
      <c r="H159" s="244"/>
      <c r="I159" s="326"/>
      <c r="J159" s="326"/>
      <c r="K159" s="295"/>
      <c r="L159" s="326"/>
      <c r="M159" s="326"/>
      <c r="N159" s="326"/>
      <c r="O159" s="326"/>
      <c r="P159" s="244"/>
      <c r="Q159" s="244"/>
      <c r="R159" s="244"/>
      <c r="S159" s="244"/>
      <c r="T159" s="244"/>
      <c r="U159" s="244"/>
    </row>
    <row r="160" spans="2:21" ht="13">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ht="13">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phoneticPr fontId="0" type="noConversion"/>
  <conditionalFormatting sqref="C17:C73">
    <cfRule type="cellIs" dxfId="39" priority="1" stopIfTrue="1" operator="equal">
      <formula>$I$10</formula>
    </cfRule>
  </conditionalFormatting>
  <conditionalFormatting sqref="C100:C155">
    <cfRule type="cellIs" dxfId="38"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U163"/>
  <sheetViews>
    <sheetView view="pageBreakPreview" zoomScale="85" zoomScaleNormal="100" workbookViewId="0">
      <selection activeCell="D10" sqref="D10"/>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"&amp;RIGHT(MID(CELL("filename",$A$1),FIND("]",CELL("filename",$A$1))+1,256),1)&amp;" of "&amp;COUNT('OKT.001:OKT.xyz - blank'!$P$3)-1</f>
        <v>OKT Project 6 of 19</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3514093.467191291</v>
      </c>
      <c r="P5" s="244"/>
      <c r="R5" s="244"/>
      <c r="S5" s="244"/>
      <c r="T5" s="244"/>
      <c r="U5" s="244"/>
    </row>
    <row r="6" spans="1:21" ht="15.5">
      <c r="C6" s="236"/>
      <c r="D6" s="293"/>
      <c r="E6" s="244"/>
      <c r="F6" s="244"/>
      <c r="G6" s="244"/>
      <c r="H6" s="450"/>
      <c r="I6" s="450"/>
      <c r="J6" s="451"/>
      <c r="K6" s="452" t="s">
        <v>243</v>
      </c>
      <c r="L6" s="453"/>
      <c r="M6" s="279"/>
      <c r="N6" s="454">
        <f>VLOOKUP(I10,C17:I73,6)</f>
        <v>3514093.467191291</v>
      </c>
      <c r="O6" s="244"/>
      <c r="P6" s="244"/>
      <c r="R6" s="244"/>
      <c r="S6" s="244"/>
      <c r="T6" s="244"/>
      <c r="U6" s="244"/>
    </row>
    <row r="7" spans="1:21" ht="13.5" thickBot="1">
      <c r="C7" s="455" t="s">
        <v>46</v>
      </c>
      <c r="D7" s="456" t="s">
        <v>206</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A9" s="152"/>
      <c r="C9" s="464" t="s">
        <v>48</v>
      </c>
      <c r="D9" s="465" t="s">
        <v>205</v>
      </c>
      <c r="E9" s="466"/>
      <c r="F9" s="466"/>
      <c r="G9" s="466"/>
      <c r="H9" s="466"/>
      <c r="I9" s="467"/>
      <c r="J9" s="468"/>
      <c r="O9" s="469"/>
      <c r="P9" s="279"/>
      <c r="R9" s="244"/>
      <c r="S9" s="244"/>
      <c r="T9" s="244"/>
      <c r="U9" s="244"/>
    </row>
    <row r="10" spans="1:21" ht="13">
      <c r="C10" s="470" t="s">
        <v>49</v>
      </c>
      <c r="D10" s="471">
        <v>28914235.739999998</v>
      </c>
      <c r="E10" s="300" t="s">
        <v>50</v>
      </c>
      <c r="F10" s="469"/>
      <c r="G10" s="409"/>
      <c r="H10" s="409"/>
      <c r="I10" s="472">
        <f>+OKT.WS.F.BPU.ATRR.Projected!R100</f>
        <v>2019</v>
      </c>
      <c r="J10" s="468"/>
      <c r="K10" s="295" t="s">
        <v>51</v>
      </c>
      <c r="O10" s="279"/>
      <c r="P10" s="279"/>
      <c r="R10" s="244"/>
      <c r="S10" s="244"/>
      <c r="T10" s="244"/>
      <c r="U10" s="244"/>
    </row>
    <row r="11" spans="1:21" ht="12.5">
      <c r="C11" s="473" t="s">
        <v>52</v>
      </c>
      <c r="D11" s="474">
        <v>2013</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8</v>
      </c>
      <c r="E12" s="473" t="s">
        <v>55</v>
      </c>
      <c r="F12" s="409"/>
      <c r="G12" s="221"/>
      <c r="H12" s="221"/>
      <c r="I12" s="477">
        <f>OKT.WS.F.BPU.ATRR.Projected!$F$78</f>
        <v>0.11749102697326873</v>
      </c>
      <c r="J12" s="579"/>
      <c r="K12" s="145" t="s">
        <v>56</v>
      </c>
      <c r="O12" s="279"/>
      <c r="P12" s="279"/>
      <c r="R12" s="244"/>
      <c r="S12" s="244"/>
      <c r="T12" s="244"/>
      <c r="U12" s="244"/>
    </row>
    <row r="13" spans="1:21" ht="12.5">
      <c r="C13" s="473" t="s">
        <v>57</v>
      </c>
      <c r="D13" s="475">
        <f>OKT.WS.F.BPU.ATRR.Projected!F89</f>
        <v>41</v>
      </c>
      <c r="E13" s="473" t="s">
        <v>58</v>
      </c>
      <c r="F13" s="409"/>
      <c r="G13" s="221"/>
      <c r="H13" s="221"/>
      <c r="I13" s="477">
        <f>IF(G5="",I12,OKT.WS.F.BPU.ATRR.Projected!$F$77)</f>
        <v>0.11749102697326873</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705225.26195121952</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49" si="0">IF(D17=F16,"","IU")</f>
        <v>IU</v>
      </c>
      <c r="C17" s="581">
        <f>IF(D11= "","-",D11)</f>
        <v>2013</v>
      </c>
      <c r="D17" s="497">
        <v>6627800</v>
      </c>
      <c r="E17" s="498">
        <v>57327.852379007891</v>
      </c>
      <c r="F17" s="497">
        <v>6570472.1476209918</v>
      </c>
      <c r="G17" s="499">
        <v>692344.48890277033</v>
      </c>
      <c r="H17" s="500">
        <v>692344.48890277033</v>
      </c>
      <c r="I17" s="585">
        <v>0</v>
      </c>
      <c r="J17" s="501"/>
      <c r="K17" s="502">
        <f t="shared" ref="K17:K22" si="1">G17</f>
        <v>692344.48890277033</v>
      </c>
      <c r="L17" s="608">
        <f t="shared" ref="L17:L49" si="2">IF(K17&lt;&gt;0,+G17-K17,0)</f>
        <v>0</v>
      </c>
      <c r="M17" s="609">
        <f t="shared" ref="M17:M22" si="3">H17</f>
        <v>692344.48890277033</v>
      </c>
      <c r="N17" s="587">
        <f t="shared" ref="N17:N49" si="4">IF(M17&lt;&gt;0,+H17-M17,0)</f>
        <v>0</v>
      </c>
      <c r="O17" s="505">
        <f t="shared" ref="O17:O49" si="5">+N17-L17</f>
        <v>0</v>
      </c>
      <c r="P17" s="279"/>
      <c r="R17" s="244"/>
      <c r="S17" s="244"/>
      <c r="T17" s="244"/>
      <c r="U17" s="244"/>
    </row>
    <row r="18" spans="2:21" ht="12.5">
      <c r="B18" s="145" t="str">
        <f t="shared" si="0"/>
        <v>IU</v>
      </c>
      <c r="C18" s="496">
        <f>IF(D11="","-",+C17+1)</f>
        <v>2014</v>
      </c>
      <c r="D18" s="506">
        <v>28510458.147620991</v>
      </c>
      <c r="E18" s="499">
        <v>494200.13235254184</v>
      </c>
      <c r="F18" s="506">
        <v>28016258.015268449</v>
      </c>
      <c r="G18" s="499">
        <v>3554730.1038106573</v>
      </c>
      <c r="H18" s="500">
        <v>3554730.1038106573</v>
      </c>
      <c r="I18" s="501">
        <v>0</v>
      </c>
      <c r="J18" s="501"/>
      <c r="K18" s="507">
        <f t="shared" si="1"/>
        <v>3554730.1038106573</v>
      </c>
      <c r="L18" s="610">
        <f t="shared" ref="L18:L23" si="6">IF(K18&lt;&gt;0,+G18-K18,0)</f>
        <v>0</v>
      </c>
      <c r="M18" s="611">
        <f t="shared" si="3"/>
        <v>3554730.1038106573</v>
      </c>
      <c r="N18" s="501">
        <f>IF(M18&lt;&gt;0,+H18-M18,0)</f>
        <v>0</v>
      </c>
      <c r="O18" s="505">
        <f>+N18-L18</f>
        <v>0</v>
      </c>
      <c r="P18" s="279"/>
      <c r="R18" s="244"/>
      <c r="S18" s="244"/>
      <c r="T18" s="244"/>
      <c r="U18" s="244"/>
    </row>
    <row r="19" spans="2:21" ht="12.5">
      <c r="B19" s="145" t="str">
        <f t="shared" si="0"/>
        <v>IU</v>
      </c>
      <c r="C19" s="496">
        <f>IF(D11="","-",+C18+1)</f>
        <v>2015</v>
      </c>
      <c r="D19" s="506">
        <v>28130872.015268449</v>
      </c>
      <c r="E19" s="499">
        <v>496182.86401993298</v>
      </c>
      <c r="F19" s="506">
        <v>27634689.151248515</v>
      </c>
      <c r="G19" s="499">
        <v>3536753.8544176081</v>
      </c>
      <c r="H19" s="500">
        <v>3536753.8544176081</v>
      </c>
      <c r="I19" s="501">
        <v>0</v>
      </c>
      <c r="J19" s="501"/>
      <c r="K19" s="507">
        <f t="shared" si="1"/>
        <v>3536753.8544176081</v>
      </c>
      <c r="L19" s="508">
        <f t="shared" si="6"/>
        <v>0</v>
      </c>
      <c r="M19" s="507">
        <f t="shared" si="3"/>
        <v>3536753.8544176081</v>
      </c>
      <c r="N19" s="505">
        <f>IF(M19&lt;&gt;0,+H19-M19,0)</f>
        <v>0</v>
      </c>
      <c r="O19" s="505">
        <f>+N19-L19</f>
        <v>0</v>
      </c>
      <c r="P19" s="279"/>
      <c r="R19" s="244"/>
      <c r="S19" s="244"/>
      <c r="T19" s="244"/>
      <c r="U19" s="244"/>
    </row>
    <row r="20" spans="2:21" ht="12.5">
      <c r="B20" s="145" t="str">
        <f t="shared" si="0"/>
        <v>IU</v>
      </c>
      <c r="C20" s="496">
        <f>IF(D11="","-",+C19+1)</f>
        <v>2016</v>
      </c>
      <c r="D20" s="506">
        <v>27866524.891248517</v>
      </c>
      <c r="E20" s="499">
        <v>600822.03590460983</v>
      </c>
      <c r="F20" s="506">
        <v>27265702.855343908</v>
      </c>
      <c r="G20" s="499">
        <v>3542256.1502628839</v>
      </c>
      <c r="H20" s="500">
        <v>3542256.1502628839</v>
      </c>
      <c r="I20" s="501">
        <f t="shared" ref="I20:I49" si="7">H20-G20</f>
        <v>0</v>
      </c>
      <c r="J20" s="501"/>
      <c r="K20" s="507">
        <f t="shared" si="1"/>
        <v>3542256.1502628839</v>
      </c>
      <c r="L20" s="508">
        <f t="shared" si="6"/>
        <v>0</v>
      </c>
      <c r="M20" s="507">
        <f t="shared" si="3"/>
        <v>3542256.1502628839</v>
      </c>
      <c r="N20" s="505">
        <f t="shared" si="4"/>
        <v>0</v>
      </c>
      <c r="O20" s="505">
        <f t="shared" si="5"/>
        <v>0</v>
      </c>
      <c r="P20" s="279"/>
      <c r="R20" s="244"/>
      <c r="S20" s="244"/>
      <c r="T20" s="244"/>
      <c r="U20" s="244"/>
    </row>
    <row r="21" spans="2:21" ht="12.5">
      <c r="B21" s="145" t="str">
        <f t="shared" si="0"/>
        <v/>
      </c>
      <c r="C21" s="496">
        <f>IF(D12="","-",+C20+1)</f>
        <v>2017</v>
      </c>
      <c r="D21" s="506">
        <v>27265702.855343908</v>
      </c>
      <c r="E21" s="499">
        <v>568511.11858112796</v>
      </c>
      <c r="F21" s="506">
        <v>26697191.736762781</v>
      </c>
      <c r="G21" s="499">
        <v>3534850.6884225709</v>
      </c>
      <c r="H21" s="500">
        <v>3534850.6884225709</v>
      </c>
      <c r="I21" s="501">
        <f t="shared" si="7"/>
        <v>0</v>
      </c>
      <c r="J21" s="501"/>
      <c r="K21" s="507">
        <f t="shared" si="1"/>
        <v>3534850.6884225709</v>
      </c>
      <c r="L21" s="508">
        <f t="shared" si="6"/>
        <v>0</v>
      </c>
      <c r="M21" s="507">
        <f t="shared" si="3"/>
        <v>3534850.6884225709</v>
      </c>
      <c r="N21" s="505">
        <f>IF(M21&lt;&gt;0,+H21-M21,0)</f>
        <v>0</v>
      </c>
      <c r="O21" s="505">
        <f>+N21-L21</f>
        <v>0</v>
      </c>
      <c r="P21" s="279"/>
      <c r="R21" s="244"/>
      <c r="S21" s="244"/>
      <c r="T21" s="244"/>
      <c r="U21" s="244"/>
    </row>
    <row r="22" spans="2:21" ht="12.5">
      <c r="B22" s="145" t="str">
        <f t="shared" si="0"/>
        <v/>
      </c>
      <c r="C22" s="496">
        <f>IF(D11="","-",+C21+1)</f>
        <v>2018</v>
      </c>
      <c r="D22" s="506">
        <v>26697191.736762781</v>
      </c>
      <c r="E22" s="499">
        <v>709109.54353113449</v>
      </c>
      <c r="F22" s="506">
        <v>25988082.193231646</v>
      </c>
      <c r="G22" s="499">
        <v>3386144.4526302526</v>
      </c>
      <c r="H22" s="500">
        <v>3386144.4526302526</v>
      </c>
      <c r="I22" s="501">
        <v>0</v>
      </c>
      <c r="J22" s="501"/>
      <c r="K22" s="507">
        <f t="shared" si="1"/>
        <v>3386144.4526302526</v>
      </c>
      <c r="L22" s="508">
        <f t="shared" si="6"/>
        <v>0</v>
      </c>
      <c r="M22" s="507">
        <f t="shared" si="3"/>
        <v>3386144.4526302526</v>
      </c>
      <c r="N22" s="505">
        <f>IF(M22&lt;&gt;0,+H22-M22,0)</f>
        <v>0</v>
      </c>
      <c r="O22" s="505">
        <f>+N22-L22</f>
        <v>0</v>
      </c>
      <c r="P22" s="279"/>
      <c r="R22" s="244"/>
      <c r="S22" s="244"/>
      <c r="T22" s="244"/>
      <c r="U22" s="244"/>
    </row>
    <row r="23" spans="2:21" ht="12.5">
      <c r="B23" s="145" t="str">
        <f t="shared" si="0"/>
        <v/>
      </c>
      <c r="C23" s="496">
        <f>IF(D11="","-",+C22+1)</f>
        <v>2019</v>
      </c>
      <c r="D23" s="506">
        <v>25988082.193231646</v>
      </c>
      <c r="E23" s="499">
        <v>857562.89168410667</v>
      </c>
      <c r="F23" s="506">
        <v>25130519.301547538</v>
      </c>
      <c r="G23" s="499">
        <v>3514093.467191291</v>
      </c>
      <c r="H23" s="500">
        <v>3514093.467191291</v>
      </c>
      <c r="I23" s="501">
        <f t="shared" si="7"/>
        <v>0</v>
      </c>
      <c r="J23" s="501"/>
      <c r="K23" s="507">
        <f t="shared" ref="K23" si="8">G23</f>
        <v>3514093.467191291</v>
      </c>
      <c r="L23" s="508">
        <f t="shared" si="6"/>
        <v>0</v>
      </c>
      <c r="M23" s="507">
        <f t="shared" ref="M23" si="9">H23</f>
        <v>3514093.467191291</v>
      </c>
      <c r="N23" s="505">
        <f>IF(M23&lt;&gt;0,+H23-M23,0)</f>
        <v>0</v>
      </c>
      <c r="O23" s="505">
        <f>+N23-L23</f>
        <v>0</v>
      </c>
      <c r="P23" s="279"/>
      <c r="R23" s="244"/>
      <c r="S23" s="244"/>
      <c r="T23" s="244"/>
      <c r="U23" s="244"/>
    </row>
    <row r="24" spans="2:21" ht="12.5">
      <c r="B24" s="145" t="str">
        <f t="shared" si="0"/>
        <v/>
      </c>
      <c r="C24" s="496">
        <f>IF(D11="","-",+C23+1)</f>
        <v>2020</v>
      </c>
      <c r="D24" s="509">
        <f>IF(F23+SUM(E$17:E23)=D$10,F23,D$10-SUM(E$17:E23))</f>
        <v>25130519.301547538</v>
      </c>
      <c r="E24" s="510">
        <f>IF(+I14&lt;F23,I14,D24)</f>
        <v>705225.26195121952</v>
      </c>
      <c r="F24" s="511">
        <f t="shared" ref="F24:F49" si="10">+D24-E24</f>
        <v>24425294.039596319</v>
      </c>
      <c r="G24" s="512">
        <f t="shared" ref="G24:G73" si="11">(D24+F24)/2*I$12+E24</f>
        <v>3616406.9629245214</v>
      </c>
      <c r="H24" s="478">
        <f t="shared" ref="H24:H73" si="12">+(D24+F24)/2*I$13+E24</f>
        <v>3616406.9629245214</v>
      </c>
      <c r="I24" s="501">
        <f t="shared" si="7"/>
        <v>0</v>
      </c>
      <c r="J24" s="501"/>
      <c r="K24" s="513"/>
      <c r="L24" s="505">
        <f t="shared" si="2"/>
        <v>0</v>
      </c>
      <c r="M24" s="513"/>
      <c r="N24" s="505">
        <f t="shared" si="4"/>
        <v>0</v>
      </c>
      <c r="O24" s="505">
        <f t="shared" si="5"/>
        <v>0</v>
      </c>
      <c r="P24" s="279"/>
      <c r="R24" s="244"/>
      <c r="S24" s="244"/>
      <c r="T24" s="244"/>
      <c r="U24" s="244"/>
    </row>
    <row r="25" spans="2:21" ht="12.5">
      <c r="B25" s="145" t="str">
        <f t="shared" si="0"/>
        <v/>
      </c>
      <c r="C25" s="496">
        <f>IF(D11="","-",+C24+1)</f>
        <v>2021</v>
      </c>
      <c r="D25" s="509">
        <f>IF(F24+SUM(E$17:E24)=D$10,F24,D$10-SUM(E$17:E24))</f>
        <v>24425294.039596319</v>
      </c>
      <c r="E25" s="510">
        <f>IF(+I14&lt;F24,I14,D25)</f>
        <v>705225.26195121952</v>
      </c>
      <c r="F25" s="511">
        <f t="shared" si="10"/>
        <v>23720068.7776451</v>
      </c>
      <c r="G25" s="512">
        <f t="shared" si="11"/>
        <v>3533549.3226503795</v>
      </c>
      <c r="H25" s="478">
        <f t="shared" si="12"/>
        <v>3533549.3226503795</v>
      </c>
      <c r="I25" s="501">
        <f t="shared" si="7"/>
        <v>0</v>
      </c>
      <c r="J25" s="501"/>
      <c r="K25" s="513"/>
      <c r="L25" s="505">
        <f t="shared" si="2"/>
        <v>0</v>
      </c>
      <c r="M25" s="513"/>
      <c r="N25" s="505">
        <f t="shared" si="4"/>
        <v>0</v>
      </c>
      <c r="O25" s="505">
        <f t="shared" si="5"/>
        <v>0</v>
      </c>
      <c r="P25" s="279"/>
      <c r="R25" s="244"/>
      <c r="S25" s="244"/>
      <c r="T25" s="244"/>
      <c r="U25" s="244"/>
    </row>
    <row r="26" spans="2:21" ht="12.5">
      <c r="B26" s="145" t="str">
        <f t="shared" si="0"/>
        <v/>
      </c>
      <c r="C26" s="496">
        <f>IF(D11="","-",+C25+1)</f>
        <v>2022</v>
      </c>
      <c r="D26" s="509">
        <f>IF(F25+SUM(E$17:E25)=D$10,F25,D$10-SUM(E$17:E25))</f>
        <v>23720068.7776451</v>
      </c>
      <c r="E26" s="510">
        <f>IF(+I14&lt;F25,I14,D26)</f>
        <v>705225.26195121952</v>
      </c>
      <c r="F26" s="511">
        <f t="shared" si="10"/>
        <v>23014843.515693881</v>
      </c>
      <c r="G26" s="512">
        <f t="shared" si="11"/>
        <v>3450691.6823762385</v>
      </c>
      <c r="H26" s="478">
        <f t="shared" si="12"/>
        <v>3450691.6823762385</v>
      </c>
      <c r="I26" s="501">
        <f t="shared" si="7"/>
        <v>0</v>
      </c>
      <c r="J26" s="501"/>
      <c r="K26" s="513"/>
      <c r="L26" s="505">
        <f t="shared" si="2"/>
        <v>0</v>
      </c>
      <c r="M26" s="513"/>
      <c r="N26" s="505">
        <f t="shared" si="4"/>
        <v>0</v>
      </c>
      <c r="O26" s="505">
        <f t="shared" si="5"/>
        <v>0</v>
      </c>
      <c r="P26" s="279"/>
      <c r="R26" s="244"/>
      <c r="S26" s="244"/>
      <c r="T26" s="244"/>
      <c r="U26" s="244"/>
    </row>
    <row r="27" spans="2:21" ht="12.5">
      <c r="B27" s="145" t="str">
        <f t="shared" si="0"/>
        <v/>
      </c>
      <c r="C27" s="496">
        <f>IF(D11="","-",+C26+1)</f>
        <v>2023</v>
      </c>
      <c r="D27" s="509">
        <f>IF(F26+SUM(E$17:E26)=D$10,F26,D$10-SUM(E$17:E26))</f>
        <v>23014843.515693881</v>
      </c>
      <c r="E27" s="510">
        <f>IF(+I14&lt;F26,I14,D27)</f>
        <v>705225.26195121952</v>
      </c>
      <c r="F27" s="511">
        <f t="shared" si="10"/>
        <v>22309618.253742661</v>
      </c>
      <c r="G27" s="512">
        <f t="shared" si="11"/>
        <v>3367834.0421020975</v>
      </c>
      <c r="H27" s="478">
        <f t="shared" si="12"/>
        <v>3367834.0421020975</v>
      </c>
      <c r="I27" s="501">
        <f t="shared" si="7"/>
        <v>0</v>
      </c>
      <c r="J27" s="501"/>
      <c r="K27" s="513"/>
      <c r="L27" s="505">
        <f t="shared" si="2"/>
        <v>0</v>
      </c>
      <c r="M27" s="513"/>
      <c r="N27" s="505">
        <f t="shared" si="4"/>
        <v>0</v>
      </c>
      <c r="O27" s="505">
        <f t="shared" si="5"/>
        <v>0</v>
      </c>
      <c r="P27" s="279"/>
      <c r="R27" s="244"/>
      <c r="S27" s="244"/>
      <c r="T27" s="244"/>
      <c r="U27" s="244"/>
    </row>
    <row r="28" spans="2:21" ht="12.5">
      <c r="B28" s="145" t="str">
        <f t="shared" si="0"/>
        <v/>
      </c>
      <c r="C28" s="496">
        <f>IF(D11="","-",+C27+1)</f>
        <v>2024</v>
      </c>
      <c r="D28" s="509">
        <f>IF(F27+SUM(E$17:E27)=D$10,F27,D$10-SUM(E$17:E27))</f>
        <v>22309618.253742661</v>
      </c>
      <c r="E28" s="510">
        <f>IF(+I14&lt;F27,I14,D28)</f>
        <v>705225.26195121952</v>
      </c>
      <c r="F28" s="511">
        <f t="shared" si="10"/>
        <v>21604392.991791442</v>
      </c>
      <c r="G28" s="512">
        <f t="shared" si="11"/>
        <v>3284976.4018279565</v>
      </c>
      <c r="H28" s="478">
        <f t="shared" si="12"/>
        <v>3284976.4018279565</v>
      </c>
      <c r="I28" s="501">
        <f t="shared" si="7"/>
        <v>0</v>
      </c>
      <c r="J28" s="501"/>
      <c r="K28" s="513"/>
      <c r="L28" s="505">
        <f t="shared" si="2"/>
        <v>0</v>
      </c>
      <c r="M28" s="513"/>
      <c r="N28" s="505">
        <f t="shared" si="4"/>
        <v>0</v>
      </c>
      <c r="O28" s="505">
        <f t="shared" si="5"/>
        <v>0</v>
      </c>
      <c r="P28" s="279"/>
      <c r="R28" s="244"/>
      <c r="S28" s="244"/>
      <c r="T28" s="244"/>
      <c r="U28" s="244"/>
    </row>
    <row r="29" spans="2:21" ht="12.5">
      <c r="B29" s="145" t="str">
        <f t="shared" si="0"/>
        <v/>
      </c>
      <c r="C29" s="496">
        <f>IF(D11="","-",+C28+1)</f>
        <v>2025</v>
      </c>
      <c r="D29" s="509">
        <f>IF(F28+SUM(E$17:E28)=D$10,F28,D$10-SUM(E$17:E28))</f>
        <v>21604392.991791442</v>
      </c>
      <c r="E29" s="510">
        <f>IF(+I14&lt;F28,I14,D29)</f>
        <v>705225.26195121952</v>
      </c>
      <c r="F29" s="511">
        <f t="shared" si="10"/>
        <v>20899167.729840223</v>
      </c>
      <c r="G29" s="512">
        <f t="shared" si="11"/>
        <v>3202118.7615538146</v>
      </c>
      <c r="H29" s="478">
        <f t="shared" si="12"/>
        <v>3202118.7615538146</v>
      </c>
      <c r="I29" s="501">
        <f t="shared" si="7"/>
        <v>0</v>
      </c>
      <c r="J29" s="501"/>
      <c r="K29" s="513"/>
      <c r="L29" s="505">
        <f t="shared" si="2"/>
        <v>0</v>
      </c>
      <c r="M29" s="513"/>
      <c r="N29" s="505">
        <f t="shared" si="4"/>
        <v>0</v>
      </c>
      <c r="O29" s="505">
        <f t="shared" si="5"/>
        <v>0</v>
      </c>
      <c r="P29" s="279"/>
      <c r="R29" s="244"/>
      <c r="S29" s="244"/>
      <c r="T29" s="244"/>
      <c r="U29" s="244"/>
    </row>
    <row r="30" spans="2:21" ht="12.5">
      <c r="B30" s="145" t="str">
        <f t="shared" si="0"/>
        <v/>
      </c>
      <c r="C30" s="496">
        <f>IF(D11="","-",+C29+1)</f>
        <v>2026</v>
      </c>
      <c r="D30" s="509">
        <f>IF(F29+SUM(E$17:E29)=D$10,F29,D$10-SUM(E$17:E29))</f>
        <v>20899167.729840223</v>
      </c>
      <c r="E30" s="510">
        <f>IF(+I14&lt;F29,I14,D30)</f>
        <v>705225.26195121952</v>
      </c>
      <c r="F30" s="511">
        <f t="shared" si="10"/>
        <v>20193942.467889003</v>
      </c>
      <c r="G30" s="512">
        <f t="shared" si="11"/>
        <v>3119261.1212796737</v>
      </c>
      <c r="H30" s="478">
        <f t="shared" si="12"/>
        <v>3119261.1212796737</v>
      </c>
      <c r="I30" s="501">
        <f t="shared" si="7"/>
        <v>0</v>
      </c>
      <c r="J30" s="501"/>
      <c r="K30" s="513"/>
      <c r="L30" s="505">
        <f t="shared" si="2"/>
        <v>0</v>
      </c>
      <c r="M30" s="513"/>
      <c r="N30" s="505">
        <f t="shared" si="4"/>
        <v>0</v>
      </c>
      <c r="O30" s="505">
        <f t="shared" si="5"/>
        <v>0</v>
      </c>
      <c r="P30" s="279"/>
      <c r="R30" s="244"/>
      <c r="S30" s="244"/>
      <c r="T30" s="244"/>
      <c r="U30" s="244"/>
    </row>
    <row r="31" spans="2:21" ht="12.5">
      <c r="B31" s="145" t="str">
        <f t="shared" si="0"/>
        <v/>
      </c>
      <c r="C31" s="496">
        <f>IF(D11="","-",+C30+1)</f>
        <v>2027</v>
      </c>
      <c r="D31" s="509">
        <f>IF(F30+SUM(E$17:E30)=D$10,F30,D$10-SUM(E$17:E30))</f>
        <v>20193942.467889003</v>
      </c>
      <c r="E31" s="510">
        <f>IF(+I14&lt;F30,I14,D31)</f>
        <v>705225.26195121952</v>
      </c>
      <c r="F31" s="511">
        <f t="shared" si="10"/>
        <v>19488717.205937784</v>
      </c>
      <c r="G31" s="512">
        <f t="shared" si="11"/>
        <v>3036403.4810055327</v>
      </c>
      <c r="H31" s="478">
        <f t="shared" si="12"/>
        <v>3036403.4810055327</v>
      </c>
      <c r="I31" s="501">
        <f t="shared" si="7"/>
        <v>0</v>
      </c>
      <c r="J31" s="501"/>
      <c r="K31" s="513"/>
      <c r="L31" s="505">
        <f t="shared" si="2"/>
        <v>0</v>
      </c>
      <c r="M31" s="513"/>
      <c r="N31" s="505">
        <f t="shared" si="4"/>
        <v>0</v>
      </c>
      <c r="O31" s="505">
        <f t="shared" si="5"/>
        <v>0</v>
      </c>
      <c r="P31" s="279"/>
      <c r="Q31" s="221"/>
      <c r="R31" s="279"/>
      <c r="S31" s="279"/>
      <c r="T31" s="279"/>
      <c r="U31" s="244"/>
    </row>
    <row r="32" spans="2:21" ht="12.5">
      <c r="B32" s="145" t="str">
        <f t="shared" si="0"/>
        <v/>
      </c>
      <c r="C32" s="496">
        <f>IF(D12="","-",+C31+1)</f>
        <v>2028</v>
      </c>
      <c r="D32" s="509">
        <f>IF(F31+SUM(E$17:E31)=D$10,F31,D$10-SUM(E$17:E31))</f>
        <v>19488717.205937784</v>
      </c>
      <c r="E32" s="510">
        <f>IF(+I14&lt;F31,I14,D32)</f>
        <v>705225.26195121952</v>
      </c>
      <c r="F32" s="511">
        <f>+D32-E32</f>
        <v>18783491.943986565</v>
      </c>
      <c r="G32" s="512">
        <f t="shared" si="11"/>
        <v>2953545.8407313917</v>
      </c>
      <c r="H32" s="478">
        <f t="shared" si="12"/>
        <v>2953545.8407313917</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0"/>
        <v/>
      </c>
      <c r="C33" s="496">
        <f>IF(D13="","-",+C32+1)</f>
        <v>2029</v>
      </c>
      <c r="D33" s="509">
        <f>IF(F32+SUM(E$17:E32)=D$10,F32,D$10-SUM(E$17:E32))</f>
        <v>18783491.943986565</v>
      </c>
      <c r="E33" s="510">
        <f>IF(+I14&lt;F31,I14,D33)</f>
        <v>705225.26195121952</v>
      </c>
      <c r="F33" s="511">
        <f t="shared" si="10"/>
        <v>18078266.682035346</v>
      </c>
      <c r="G33" s="512">
        <f t="shared" si="11"/>
        <v>2870688.2004572498</v>
      </c>
      <c r="H33" s="478">
        <f t="shared" si="12"/>
        <v>2870688.2004572498</v>
      </c>
      <c r="I33" s="501">
        <f t="shared" si="7"/>
        <v>0</v>
      </c>
      <c r="J33" s="501"/>
      <c r="K33" s="513"/>
      <c r="L33" s="505">
        <f t="shared" si="2"/>
        <v>0</v>
      </c>
      <c r="M33" s="513"/>
      <c r="N33" s="505">
        <f t="shared" si="4"/>
        <v>0</v>
      </c>
      <c r="O33" s="505">
        <f t="shared" si="5"/>
        <v>0</v>
      </c>
      <c r="P33" s="279"/>
      <c r="R33" s="244"/>
      <c r="S33" s="244"/>
      <c r="T33" s="244"/>
      <c r="U33" s="244"/>
    </row>
    <row r="34" spans="2:21" ht="12.5">
      <c r="B34" s="145" t="str">
        <f t="shared" si="0"/>
        <v/>
      </c>
      <c r="C34" s="514">
        <f>IF(D11="","-",+C33+1)</f>
        <v>2030</v>
      </c>
      <c r="D34" s="515">
        <f>IF(F33+SUM(E$17:E33)=D$10,F33,D$10-SUM(E$17:E33))</f>
        <v>18078266.682035346</v>
      </c>
      <c r="E34" s="516">
        <f>IF(+I14&lt;F33,I14,D34)</f>
        <v>705225.26195121952</v>
      </c>
      <c r="F34" s="517">
        <f t="shared" si="10"/>
        <v>17373041.420084126</v>
      </c>
      <c r="G34" s="518">
        <f t="shared" si="11"/>
        <v>2787830.5601831092</v>
      </c>
      <c r="H34" s="519">
        <f t="shared" si="12"/>
        <v>2787830.5601831092</v>
      </c>
      <c r="I34" s="520">
        <f t="shared" si="7"/>
        <v>0</v>
      </c>
      <c r="J34" s="520"/>
      <c r="K34" s="521"/>
      <c r="L34" s="522">
        <f t="shared" si="2"/>
        <v>0</v>
      </c>
      <c r="M34" s="521"/>
      <c r="N34" s="522">
        <f t="shared" si="4"/>
        <v>0</v>
      </c>
      <c r="O34" s="522">
        <f t="shared" si="5"/>
        <v>0</v>
      </c>
      <c r="P34" s="523"/>
      <c r="Q34" s="217"/>
      <c r="R34" s="523"/>
      <c r="S34" s="523"/>
      <c r="T34" s="523"/>
      <c r="U34" s="244"/>
    </row>
    <row r="35" spans="2:21" ht="12.5">
      <c r="B35" s="145" t="str">
        <f t="shared" si="0"/>
        <v/>
      </c>
      <c r="C35" s="496">
        <f>IF(D11="","-",+C34+1)</f>
        <v>2031</v>
      </c>
      <c r="D35" s="509">
        <f>IF(F34+SUM(E$17:E34)=D$10,F34,D$10-SUM(E$17:E34))</f>
        <v>17373041.420084126</v>
      </c>
      <c r="E35" s="510">
        <f>IF(+I14&lt;F34,I14,D35)</f>
        <v>705225.26195121952</v>
      </c>
      <c r="F35" s="511">
        <f t="shared" si="10"/>
        <v>16667816.158132907</v>
      </c>
      <c r="G35" s="512">
        <f t="shared" si="11"/>
        <v>2704972.9199089678</v>
      </c>
      <c r="H35" s="478">
        <f t="shared" si="12"/>
        <v>2704972.9199089678</v>
      </c>
      <c r="I35" s="501">
        <f t="shared" si="7"/>
        <v>0</v>
      </c>
      <c r="J35" s="501"/>
      <c r="K35" s="513"/>
      <c r="L35" s="505">
        <f t="shared" si="2"/>
        <v>0</v>
      </c>
      <c r="M35" s="513"/>
      <c r="N35" s="505">
        <f t="shared" si="4"/>
        <v>0</v>
      </c>
      <c r="O35" s="505">
        <f t="shared" si="5"/>
        <v>0</v>
      </c>
      <c r="P35" s="279"/>
      <c r="R35" s="244"/>
      <c r="S35" s="244"/>
      <c r="T35" s="244"/>
      <c r="U35" s="244"/>
    </row>
    <row r="36" spans="2:21" ht="12.5">
      <c r="B36" s="145" t="str">
        <f t="shared" si="0"/>
        <v/>
      </c>
      <c r="C36" s="496">
        <f>IF(D11="","-",+C35+1)</f>
        <v>2032</v>
      </c>
      <c r="D36" s="509">
        <f>IF(F35+SUM(E$17:E35)=D$10,F35,D$10-SUM(E$17:E35))</f>
        <v>16667816.158132907</v>
      </c>
      <c r="E36" s="510">
        <f>IF(+I14&lt;F35,I14,D36)</f>
        <v>705225.26195121952</v>
      </c>
      <c r="F36" s="511">
        <f t="shared" si="10"/>
        <v>15962590.896181688</v>
      </c>
      <c r="G36" s="512">
        <f t="shared" si="11"/>
        <v>2622115.2796348268</v>
      </c>
      <c r="H36" s="478">
        <f t="shared" si="12"/>
        <v>2622115.2796348268</v>
      </c>
      <c r="I36" s="501">
        <f t="shared" si="7"/>
        <v>0</v>
      </c>
      <c r="J36" s="501"/>
      <c r="K36" s="513"/>
      <c r="L36" s="505">
        <f t="shared" si="2"/>
        <v>0</v>
      </c>
      <c r="M36" s="513"/>
      <c r="N36" s="505">
        <f t="shared" si="4"/>
        <v>0</v>
      </c>
      <c r="O36" s="505">
        <f t="shared" si="5"/>
        <v>0</v>
      </c>
      <c r="P36" s="279"/>
      <c r="R36" s="244"/>
      <c r="S36" s="244"/>
      <c r="T36" s="244"/>
      <c r="U36" s="244"/>
    </row>
    <row r="37" spans="2:21" ht="12.5">
      <c r="B37" s="145" t="str">
        <f t="shared" si="0"/>
        <v/>
      </c>
      <c r="C37" s="496">
        <f>IF(D11="","-",+C36+1)</f>
        <v>2033</v>
      </c>
      <c r="D37" s="509">
        <f>IF(F36+SUM(E$17:E36)=D$10,F36,D$10-SUM(E$17:E36))</f>
        <v>15962590.896181688</v>
      </c>
      <c r="E37" s="510">
        <f>IF(+I14&lt;F36,I14,D37)</f>
        <v>705225.26195121952</v>
      </c>
      <c r="F37" s="511">
        <f t="shared" si="10"/>
        <v>15257365.634230468</v>
      </c>
      <c r="G37" s="512">
        <f t="shared" si="11"/>
        <v>2539257.6393606854</v>
      </c>
      <c r="H37" s="478">
        <f t="shared" si="12"/>
        <v>2539257.6393606854</v>
      </c>
      <c r="I37" s="501">
        <f t="shared" si="7"/>
        <v>0</v>
      </c>
      <c r="J37" s="501"/>
      <c r="K37" s="513"/>
      <c r="L37" s="505">
        <f t="shared" si="2"/>
        <v>0</v>
      </c>
      <c r="M37" s="513"/>
      <c r="N37" s="505">
        <f t="shared" si="4"/>
        <v>0</v>
      </c>
      <c r="O37" s="505">
        <f t="shared" si="5"/>
        <v>0</v>
      </c>
      <c r="P37" s="279"/>
      <c r="R37" s="244"/>
      <c r="S37" s="244"/>
      <c r="T37" s="244"/>
      <c r="U37" s="244"/>
    </row>
    <row r="38" spans="2:21" ht="12.5">
      <c r="B38" s="145" t="str">
        <f t="shared" si="0"/>
        <v/>
      </c>
      <c r="C38" s="496">
        <f>IF(D11="","-",+C37+1)</f>
        <v>2034</v>
      </c>
      <c r="D38" s="509">
        <f>IF(F37+SUM(E$17:E37)=D$10,F37,D$10-SUM(E$17:E37))</f>
        <v>15257365.634230468</v>
      </c>
      <c r="E38" s="510">
        <f>IF(+I14&lt;F37,I14,D38)</f>
        <v>705225.26195121952</v>
      </c>
      <c r="F38" s="511">
        <f t="shared" si="10"/>
        <v>14552140.372279249</v>
      </c>
      <c r="G38" s="512">
        <f t="shared" si="11"/>
        <v>2456399.9990865439</v>
      </c>
      <c r="H38" s="478">
        <f t="shared" si="12"/>
        <v>2456399.9990865439</v>
      </c>
      <c r="I38" s="501">
        <f t="shared" si="7"/>
        <v>0</v>
      </c>
      <c r="J38" s="501"/>
      <c r="K38" s="513"/>
      <c r="L38" s="505">
        <f t="shared" si="2"/>
        <v>0</v>
      </c>
      <c r="M38" s="513"/>
      <c r="N38" s="505">
        <f t="shared" si="4"/>
        <v>0</v>
      </c>
      <c r="O38" s="505">
        <f t="shared" si="5"/>
        <v>0</v>
      </c>
      <c r="P38" s="279"/>
      <c r="R38" s="244"/>
      <c r="S38" s="244"/>
      <c r="T38" s="244"/>
      <c r="U38" s="244"/>
    </row>
    <row r="39" spans="2:21" ht="12.5">
      <c r="B39" s="145" t="str">
        <f t="shared" si="0"/>
        <v/>
      </c>
      <c r="C39" s="496">
        <f>IF(D11="","-",+C38+1)</f>
        <v>2035</v>
      </c>
      <c r="D39" s="509">
        <f>IF(F38+SUM(E$17:E38)=D$10,F38,D$10-SUM(E$17:E38))</f>
        <v>14552140.372279249</v>
      </c>
      <c r="E39" s="510">
        <f>IF(+I14&lt;F38,I14,D39)</f>
        <v>705225.26195121952</v>
      </c>
      <c r="F39" s="511">
        <f t="shared" si="10"/>
        <v>13846915.11032803</v>
      </c>
      <c r="G39" s="512">
        <f t="shared" si="11"/>
        <v>2373542.3588124029</v>
      </c>
      <c r="H39" s="478">
        <f t="shared" si="12"/>
        <v>2373542.3588124029</v>
      </c>
      <c r="I39" s="501">
        <f t="shared" si="7"/>
        <v>0</v>
      </c>
      <c r="J39" s="501"/>
      <c r="K39" s="513"/>
      <c r="L39" s="505">
        <f t="shared" si="2"/>
        <v>0</v>
      </c>
      <c r="M39" s="513"/>
      <c r="N39" s="505">
        <f t="shared" si="4"/>
        <v>0</v>
      </c>
      <c r="O39" s="505">
        <f t="shared" si="5"/>
        <v>0</v>
      </c>
      <c r="P39" s="279"/>
      <c r="R39" s="244"/>
      <c r="S39" s="244"/>
      <c r="T39" s="244"/>
      <c r="U39" s="244"/>
    </row>
    <row r="40" spans="2:21" ht="12.5">
      <c r="B40" s="145" t="str">
        <f t="shared" si="0"/>
        <v/>
      </c>
      <c r="C40" s="496">
        <f>IF(D11="","-",+C39+1)</f>
        <v>2036</v>
      </c>
      <c r="D40" s="509">
        <f>IF(F39+SUM(E$17:E39)=D$10,F39,D$10-SUM(E$17:E39))</f>
        <v>13846915.11032803</v>
      </c>
      <c r="E40" s="510">
        <f>IF(+I14&lt;F39,I14,D40)</f>
        <v>705225.26195121952</v>
      </c>
      <c r="F40" s="511">
        <f t="shared" si="10"/>
        <v>13141689.848376811</v>
      </c>
      <c r="G40" s="512">
        <f t="shared" si="11"/>
        <v>2290684.718538262</v>
      </c>
      <c r="H40" s="478">
        <f t="shared" si="12"/>
        <v>2290684.718538262</v>
      </c>
      <c r="I40" s="501">
        <f t="shared" si="7"/>
        <v>0</v>
      </c>
      <c r="J40" s="501"/>
      <c r="K40" s="513"/>
      <c r="L40" s="505">
        <f t="shared" si="2"/>
        <v>0</v>
      </c>
      <c r="M40" s="513"/>
      <c r="N40" s="505">
        <f t="shared" si="4"/>
        <v>0</v>
      </c>
      <c r="O40" s="505">
        <f t="shared" si="5"/>
        <v>0</v>
      </c>
      <c r="P40" s="279"/>
      <c r="R40" s="244"/>
      <c r="S40" s="244"/>
      <c r="T40" s="244"/>
      <c r="U40" s="244"/>
    </row>
    <row r="41" spans="2:21" ht="12.5">
      <c r="B41" s="145" t="str">
        <f t="shared" si="0"/>
        <v/>
      </c>
      <c r="C41" s="496">
        <f>IF(D12="","-",+C40+1)</f>
        <v>2037</v>
      </c>
      <c r="D41" s="509">
        <f>IF(F40+SUM(E$17:E40)=D$10,F40,D$10-SUM(E$17:E40))</f>
        <v>13141689.848376811</v>
      </c>
      <c r="E41" s="510">
        <f>IF(+I14&lt;F40,I14,D41)</f>
        <v>705225.26195121952</v>
      </c>
      <c r="F41" s="511">
        <f t="shared" si="10"/>
        <v>12436464.586425591</v>
      </c>
      <c r="G41" s="512">
        <f t="shared" si="11"/>
        <v>2207827.0782641205</v>
      </c>
      <c r="H41" s="478">
        <f t="shared" si="12"/>
        <v>2207827.0782641205</v>
      </c>
      <c r="I41" s="501">
        <f t="shared" si="7"/>
        <v>0</v>
      </c>
      <c r="J41" s="501"/>
      <c r="K41" s="513"/>
      <c r="L41" s="505">
        <f t="shared" si="2"/>
        <v>0</v>
      </c>
      <c r="M41" s="513"/>
      <c r="N41" s="505">
        <f t="shared" si="4"/>
        <v>0</v>
      </c>
      <c r="O41" s="505">
        <f t="shared" si="5"/>
        <v>0</v>
      </c>
      <c r="P41" s="279"/>
      <c r="R41" s="244"/>
      <c r="S41" s="244"/>
      <c r="T41" s="244"/>
      <c r="U41" s="244"/>
    </row>
    <row r="42" spans="2:21" ht="12.5">
      <c r="B42" s="145" t="str">
        <f t="shared" si="0"/>
        <v/>
      </c>
      <c r="C42" s="496">
        <f>IF(D13="","-",+C41+1)</f>
        <v>2038</v>
      </c>
      <c r="D42" s="509">
        <f>IF(F41+SUM(E$17:E41)=D$10,F41,D$10-SUM(E$17:E41))</f>
        <v>12436464.586425591</v>
      </c>
      <c r="E42" s="510">
        <f>IF(+I14&lt;F41,I14,D42)</f>
        <v>705225.26195121952</v>
      </c>
      <c r="F42" s="511">
        <f t="shared" si="10"/>
        <v>11731239.324474372</v>
      </c>
      <c r="G42" s="512">
        <f t="shared" si="11"/>
        <v>2124969.4379899791</v>
      </c>
      <c r="H42" s="478">
        <f t="shared" si="12"/>
        <v>2124969.4379899791</v>
      </c>
      <c r="I42" s="501">
        <f t="shared" si="7"/>
        <v>0</v>
      </c>
      <c r="J42" s="501"/>
      <c r="K42" s="513"/>
      <c r="L42" s="505">
        <f t="shared" si="2"/>
        <v>0</v>
      </c>
      <c r="M42" s="513"/>
      <c r="N42" s="505">
        <f t="shared" si="4"/>
        <v>0</v>
      </c>
      <c r="O42" s="505">
        <f t="shared" si="5"/>
        <v>0</v>
      </c>
      <c r="P42" s="279"/>
      <c r="R42" s="244"/>
      <c r="S42" s="244"/>
      <c r="T42" s="244"/>
      <c r="U42" s="244"/>
    </row>
    <row r="43" spans="2:21" ht="12.5">
      <c r="B43" s="145" t="str">
        <f t="shared" si="0"/>
        <v/>
      </c>
      <c r="C43" s="496">
        <f>IF(D11="","-",+C42+1)</f>
        <v>2039</v>
      </c>
      <c r="D43" s="509">
        <f>IF(F42+SUM(E$17:E42)=D$10,F42,D$10-SUM(E$17:E42))</f>
        <v>11731239.324474372</v>
      </c>
      <c r="E43" s="510">
        <f>IF(+I14&lt;F42,I14,D43)</f>
        <v>705225.26195121952</v>
      </c>
      <c r="F43" s="511">
        <f t="shared" si="10"/>
        <v>11026014.062523153</v>
      </c>
      <c r="G43" s="512">
        <f t="shared" si="11"/>
        <v>2042111.7977158381</v>
      </c>
      <c r="H43" s="478">
        <f t="shared" si="12"/>
        <v>2042111.7977158381</v>
      </c>
      <c r="I43" s="501">
        <f t="shared" si="7"/>
        <v>0</v>
      </c>
      <c r="J43" s="501"/>
      <c r="K43" s="513"/>
      <c r="L43" s="505">
        <f t="shared" si="2"/>
        <v>0</v>
      </c>
      <c r="M43" s="513"/>
      <c r="N43" s="505">
        <f t="shared" si="4"/>
        <v>0</v>
      </c>
      <c r="O43" s="505">
        <f t="shared" si="5"/>
        <v>0</v>
      </c>
      <c r="P43" s="279"/>
      <c r="R43" s="244"/>
      <c r="S43" s="244"/>
      <c r="T43" s="244"/>
      <c r="U43" s="244"/>
    </row>
    <row r="44" spans="2:21" ht="12.5">
      <c r="B44" s="145" t="str">
        <f t="shared" si="0"/>
        <v/>
      </c>
      <c r="C44" s="496">
        <f>IF(D11="","-",+C43+1)</f>
        <v>2040</v>
      </c>
      <c r="D44" s="509">
        <f>IF(F43+SUM(E$17:E43)=D$10,F43,D$10-SUM(E$17:E43))</f>
        <v>11026014.062523153</v>
      </c>
      <c r="E44" s="510">
        <f>IF(+I14&lt;F43,I14,D44)</f>
        <v>705225.26195121952</v>
      </c>
      <c r="F44" s="511">
        <f t="shared" si="10"/>
        <v>10320788.800571933</v>
      </c>
      <c r="G44" s="512">
        <f t="shared" si="11"/>
        <v>1959254.1574416969</v>
      </c>
      <c r="H44" s="478">
        <f t="shared" si="12"/>
        <v>1959254.1574416969</v>
      </c>
      <c r="I44" s="501">
        <f t="shared" si="7"/>
        <v>0</v>
      </c>
      <c r="J44" s="501"/>
      <c r="K44" s="513"/>
      <c r="L44" s="505">
        <f t="shared" si="2"/>
        <v>0</v>
      </c>
      <c r="M44" s="513"/>
      <c r="N44" s="505">
        <f t="shared" si="4"/>
        <v>0</v>
      </c>
      <c r="O44" s="505">
        <f t="shared" si="5"/>
        <v>0</v>
      </c>
      <c r="P44" s="279"/>
      <c r="R44" s="244"/>
      <c r="S44" s="244"/>
      <c r="T44" s="244"/>
      <c r="U44" s="244"/>
    </row>
    <row r="45" spans="2:21" ht="12.5">
      <c r="B45" s="145" t="str">
        <f t="shared" si="0"/>
        <v/>
      </c>
      <c r="C45" s="496">
        <f>IF(D11="","-",+C44+1)</f>
        <v>2041</v>
      </c>
      <c r="D45" s="509">
        <f>IF(F44+SUM(E$17:E44)=D$10,F44,D$10-SUM(E$17:E44))</f>
        <v>10320788.800571933</v>
      </c>
      <c r="E45" s="510">
        <f>IF(+I14&lt;F44,I14,D45)</f>
        <v>705225.26195121952</v>
      </c>
      <c r="F45" s="511">
        <f t="shared" si="10"/>
        <v>9615563.5386207141</v>
      </c>
      <c r="G45" s="512">
        <f t="shared" si="11"/>
        <v>1876396.5171675556</v>
      </c>
      <c r="H45" s="478">
        <f t="shared" si="12"/>
        <v>1876396.5171675556</v>
      </c>
      <c r="I45" s="501">
        <f t="shared" si="7"/>
        <v>0</v>
      </c>
      <c r="J45" s="501"/>
      <c r="K45" s="513"/>
      <c r="L45" s="505">
        <f t="shared" si="2"/>
        <v>0</v>
      </c>
      <c r="M45" s="513"/>
      <c r="N45" s="505">
        <f t="shared" si="4"/>
        <v>0</v>
      </c>
      <c r="O45" s="505">
        <f t="shared" si="5"/>
        <v>0</v>
      </c>
      <c r="P45" s="279"/>
      <c r="R45" s="244"/>
      <c r="S45" s="244"/>
      <c r="T45" s="244"/>
      <c r="U45" s="244"/>
    </row>
    <row r="46" spans="2:21" ht="12.5">
      <c r="B46" s="145" t="str">
        <f t="shared" si="0"/>
        <v/>
      </c>
      <c r="C46" s="496">
        <f>IF(D11="","-",+C45+1)</f>
        <v>2042</v>
      </c>
      <c r="D46" s="509">
        <f>IF(F45+SUM(E$17:E45)=D$10,F45,D$10-SUM(E$17:E45))</f>
        <v>9615563.5386207141</v>
      </c>
      <c r="E46" s="510">
        <f>IF(+I14&lt;F45,I14,D46)</f>
        <v>705225.26195121952</v>
      </c>
      <c r="F46" s="511">
        <f t="shared" si="10"/>
        <v>8910338.2766694948</v>
      </c>
      <c r="G46" s="512">
        <f t="shared" si="11"/>
        <v>1793538.8768934147</v>
      </c>
      <c r="H46" s="478">
        <f t="shared" si="12"/>
        <v>1793538.8768934147</v>
      </c>
      <c r="I46" s="501">
        <f t="shared" si="7"/>
        <v>0</v>
      </c>
      <c r="J46" s="501"/>
      <c r="K46" s="513"/>
      <c r="L46" s="505">
        <f t="shared" si="2"/>
        <v>0</v>
      </c>
      <c r="M46" s="513"/>
      <c r="N46" s="505">
        <f t="shared" si="4"/>
        <v>0</v>
      </c>
      <c r="O46" s="505">
        <f t="shared" si="5"/>
        <v>0</v>
      </c>
      <c r="P46" s="279"/>
      <c r="R46" s="244"/>
      <c r="S46" s="244"/>
      <c r="T46" s="244"/>
      <c r="U46" s="244"/>
    </row>
    <row r="47" spans="2:21" ht="12.5">
      <c r="B47" s="145" t="str">
        <f t="shared" si="0"/>
        <v/>
      </c>
      <c r="C47" s="496">
        <f>IF(D11="","-",+C46+1)</f>
        <v>2043</v>
      </c>
      <c r="D47" s="509">
        <f>IF(F46+SUM(E$17:E46)=D$10,F46,D$10-SUM(E$17:E46))</f>
        <v>8910338.2766694948</v>
      </c>
      <c r="E47" s="510">
        <f>IF(+I14&lt;F46,I14,D47)</f>
        <v>705225.26195121952</v>
      </c>
      <c r="F47" s="511">
        <f t="shared" si="10"/>
        <v>8205113.0147182755</v>
      </c>
      <c r="G47" s="512">
        <f t="shared" si="11"/>
        <v>1710681.2366192732</v>
      </c>
      <c r="H47" s="478">
        <f t="shared" si="12"/>
        <v>1710681.2366192732</v>
      </c>
      <c r="I47" s="501">
        <f t="shared" si="7"/>
        <v>0</v>
      </c>
      <c r="J47" s="501"/>
      <c r="K47" s="513"/>
      <c r="L47" s="505">
        <f t="shared" si="2"/>
        <v>0</v>
      </c>
      <c r="M47" s="513"/>
      <c r="N47" s="505">
        <f t="shared" si="4"/>
        <v>0</v>
      </c>
      <c r="O47" s="505">
        <f t="shared" si="5"/>
        <v>0</v>
      </c>
      <c r="P47" s="279"/>
      <c r="R47" s="244"/>
      <c r="S47" s="244"/>
      <c r="T47" s="244"/>
      <c r="U47" s="244"/>
    </row>
    <row r="48" spans="2:21" ht="12.5">
      <c r="B48" s="145" t="str">
        <f t="shared" si="0"/>
        <v/>
      </c>
      <c r="C48" s="496">
        <f>IF(D11="","-",+C47+1)</f>
        <v>2044</v>
      </c>
      <c r="D48" s="509">
        <f>IF(F47+SUM(E$17:E47)=D$10,F47,D$10-SUM(E$17:E47))</f>
        <v>8205113.0147182755</v>
      </c>
      <c r="E48" s="510">
        <f>IF(+I14&lt;F47,I14,D48)</f>
        <v>705225.26195121952</v>
      </c>
      <c r="F48" s="511">
        <f t="shared" si="10"/>
        <v>7499887.7527670562</v>
      </c>
      <c r="G48" s="512">
        <f t="shared" si="11"/>
        <v>1627823.5963451322</v>
      </c>
      <c r="H48" s="478">
        <f t="shared" si="12"/>
        <v>1627823.5963451322</v>
      </c>
      <c r="I48" s="501">
        <f t="shared" si="7"/>
        <v>0</v>
      </c>
      <c r="J48" s="501"/>
      <c r="K48" s="513"/>
      <c r="L48" s="505">
        <f t="shared" si="2"/>
        <v>0</v>
      </c>
      <c r="M48" s="513"/>
      <c r="N48" s="505">
        <f t="shared" si="4"/>
        <v>0</v>
      </c>
      <c r="O48" s="505">
        <f t="shared" si="5"/>
        <v>0</v>
      </c>
      <c r="P48" s="279"/>
      <c r="R48" s="244"/>
      <c r="S48" s="244"/>
      <c r="T48" s="244"/>
      <c r="U48" s="244"/>
    </row>
    <row r="49" spans="2:21" ht="12.5">
      <c r="B49" s="145" t="str">
        <f t="shared" si="0"/>
        <v/>
      </c>
      <c r="C49" s="496">
        <f>IF(D11="","-",+C48+1)</f>
        <v>2045</v>
      </c>
      <c r="D49" s="509">
        <f>IF(F48+SUM(E$17:E48)=D$10,F48,D$10-SUM(E$17:E48))</f>
        <v>7499887.7527670562</v>
      </c>
      <c r="E49" s="510">
        <f>IF(+I14&lt;F48,I14,D49)</f>
        <v>705225.26195121952</v>
      </c>
      <c r="F49" s="511">
        <f t="shared" si="10"/>
        <v>6794662.4908158369</v>
      </c>
      <c r="G49" s="512">
        <f t="shared" si="11"/>
        <v>1544965.9560709908</v>
      </c>
      <c r="H49" s="478">
        <f t="shared" si="12"/>
        <v>1544965.9560709908</v>
      </c>
      <c r="I49" s="501">
        <f t="shared" si="7"/>
        <v>0</v>
      </c>
      <c r="J49" s="501"/>
      <c r="K49" s="513"/>
      <c r="L49" s="505">
        <f t="shared" si="2"/>
        <v>0</v>
      </c>
      <c r="M49" s="513"/>
      <c r="N49" s="505">
        <f t="shared" si="4"/>
        <v>0</v>
      </c>
      <c r="O49" s="505">
        <f t="shared" si="5"/>
        <v>0</v>
      </c>
      <c r="P49" s="279"/>
      <c r="R49" s="244"/>
      <c r="S49" s="244"/>
      <c r="T49" s="244"/>
      <c r="U49" s="244"/>
    </row>
    <row r="50" spans="2:21" ht="12.5">
      <c r="B50" s="145" t="str">
        <f t="shared" ref="B50:B73" si="13">IF(D50=F49,"","IU")</f>
        <v/>
      </c>
      <c r="C50" s="496">
        <f>IF(D11="","-",+C49+1)</f>
        <v>2046</v>
      </c>
      <c r="D50" s="509">
        <f>IF(F49+SUM(E$17:E49)=D$10,F49,D$10-SUM(E$17:E49))</f>
        <v>6794662.4908158369</v>
      </c>
      <c r="E50" s="510">
        <f>IF(+I14&lt;F49,I14,D50)</f>
        <v>705225.26195121952</v>
      </c>
      <c r="F50" s="511">
        <f t="shared" ref="F50:F73" si="14">+D50-E50</f>
        <v>6089437.2288646176</v>
      </c>
      <c r="G50" s="512">
        <f t="shared" si="11"/>
        <v>1462108.3157968498</v>
      </c>
      <c r="H50" s="478">
        <f t="shared" si="12"/>
        <v>1462108.3157968498</v>
      </c>
      <c r="I50" s="501">
        <f t="shared" ref="I50:I73" si="15">H50-G50</f>
        <v>0</v>
      </c>
      <c r="J50" s="501"/>
      <c r="K50" s="513"/>
      <c r="L50" s="505">
        <f t="shared" ref="L50:L73" si="16">IF(K50&lt;&gt;0,+G50-K50,0)</f>
        <v>0</v>
      </c>
      <c r="M50" s="513"/>
      <c r="N50" s="505">
        <f t="shared" ref="N50:N73" si="17">IF(M50&lt;&gt;0,+H50-M50,0)</f>
        <v>0</v>
      </c>
      <c r="O50" s="505">
        <f t="shared" ref="O50:O73" si="18">+N50-L50</f>
        <v>0</v>
      </c>
      <c r="P50" s="279"/>
      <c r="R50" s="244"/>
      <c r="S50" s="244"/>
      <c r="T50" s="244"/>
      <c r="U50" s="244"/>
    </row>
    <row r="51" spans="2:21" ht="12.5">
      <c r="B51" s="145" t="str">
        <f t="shared" si="13"/>
        <v/>
      </c>
      <c r="C51" s="496">
        <f>IF(D11="","-",+C50+1)</f>
        <v>2047</v>
      </c>
      <c r="D51" s="509">
        <f>IF(F50+SUM(E$17:E50)=D$10,F50,D$10-SUM(E$17:E50))</f>
        <v>6089437.2288646176</v>
      </c>
      <c r="E51" s="510">
        <f>IF(+I14&lt;F50,I14,D51)</f>
        <v>705225.26195121952</v>
      </c>
      <c r="F51" s="511">
        <f t="shared" si="14"/>
        <v>5384211.9669133984</v>
      </c>
      <c r="G51" s="512">
        <f t="shared" si="11"/>
        <v>1379250.6755227083</v>
      </c>
      <c r="H51" s="478">
        <f t="shared" si="12"/>
        <v>1379250.6755227083</v>
      </c>
      <c r="I51" s="501">
        <f t="shared" si="15"/>
        <v>0</v>
      </c>
      <c r="J51" s="501"/>
      <c r="K51" s="513"/>
      <c r="L51" s="505">
        <f t="shared" si="16"/>
        <v>0</v>
      </c>
      <c r="M51" s="513"/>
      <c r="N51" s="505">
        <f t="shared" si="17"/>
        <v>0</v>
      </c>
      <c r="O51" s="505">
        <f t="shared" si="18"/>
        <v>0</v>
      </c>
      <c r="P51" s="279"/>
      <c r="R51" s="244"/>
      <c r="S51" s="244"/>
      <c r="T51" s="244"/>
      <c r="U51" s="244"/>
    </row>
    <row r="52" spans="2:21" ht="12.5">
      <c r="B52" s="145" t="str">
        <f t="shared" si="13"/>
        <v/>
      </c>
      <c r="C52" s="496">
        <f>IF(D11="","-",+C51+1)</f>
        <v>2048</v>
      </c>
      <c r="D52" s="509">
        <f>IF(F51+SUM(E$17:E51)=D$10,F51,D$10-SUM(E$17:E51))</f>
        <v>5384211.9669133984</v>
      </c>
      <c r="E52" s="510">
        <f>IF(+I14&lt;F51,I14,D52)</f>
        <v>705225.26195121952</v>
      </c>
      <c r="F52" s="511">
        <f t="shared" si="14"/>
        <v>4678986.7049621791</v>
      </c>
      <c r="G52" s="512">
        <f t="shared" si="11"/>
        <v>1296393.0352485674</v>
      </c>
      <c r="H52" s="478">
        <f t="shared" si="12"/>
        <v>1296393.0352485674</v>
      </c>
      <c r="I52" s="501">
        <f t="shared" si="15"/>
        <v>0</v>
      </c>
      <c r="J52" s="501"/>
      <c r="K52" s="513"/>
      <c r="L52" s="505">
        <f t="shared" si="16"/>
        <v>0</v>
      </c>
      <c r="M52" s="513"/>
      <c r="N52" s="505">
        <f t="shared" si="17"/>
        <v>0</v>
      </c>
      <c r="O52" s="505">
        <f t="shared" si="18"/>
        <v>0</v>
      </c>
      <c r="P52" s="279"/>
      <c r="R52" s="244"/>
      <c r="S52" s="244"/>
      <c r="T52" s="244"/>
      <c r="U52" s="244"/>
    </row>
    <row r="53" spans="2:21" ht="12.5">
      <c r="B53" s="145" t="str">
        <f t="shared" si="13"/>
        <v/>
      </c>
      <c r="C53" s="496">
        <f>IF(D11="","-",+C52+1)</f>
        <v>2049</v>
      </c>
      <c r="D53" s="471">
        <f>IF(F52+SUM(E$17:E52)=D$10,F52,D$10-SUM(E$17:E52))</f>
        <v>4678986.7049621791</v>
      </c>
      <c r="E53" s="510">
        <f>IF(+I14&lt;F52,I14,D53)</f>
        <v>705225.26195121952</v>
      </c>
      <c r="F53" s="511">
        <f t="shared" si="14"/>
        <v>3973761.4430109598</v>
      </c>
      <c r="G53" s="512">
        <f t="shared" si="11"/>
        <v>1213535.3949744261</v>
      </c>
      <c r="H53" s="478">
        <f t="shared" si="12"/>
        <v>1213535.3949744261</v>
      </c>
      <c r="I53" s="501">
        <f t="shared" si="15"/>
        <v>0</v>
      </c>
      <c r="J53" s="501"/>
      <c r="K53" s="513"/>
      <c r="L53" s="505">
        <f t="shared" si="16"/>
        <v>0</v>
      </c>
      <c r="M53" s="513"/>
      <c r="N53" s="505">
        <f t="shared" si="17"/>
        <v>0</v>
      </c>
      <c r="O53" s="505">
        <f t="shared" si="18"/>
        <v>0</v>
      </c>
      <c r="P53" s="279"/>
      <c r="R53" s="244"/>
      <c r="S53" s="244"/>
      <c r="T53" s="244"/>
      <c r="U53" s="244"/>
    </row>
    <row r="54" spans="2:21" ht="12.5">
      <c r="B54" s="145" t="str">
        <f t="shared" si="13"/>
        <v/>
      </c>
      <c r="C54" s="496">
        <f>IF(D11="","-",+C53+1)</f>
        <v>2050</v>
      </c>
      <c r="D54" s="509">
        <f>IF(F53+SUM(E$17:E53)=D$10,F53,D$10-SUM(E$17:E53))</f>
        <v>3973761.4430109598</v>
      </c>
      <c r="E54" s="510">
        <f>IF(+I14&lt;F53,I14,D54)</f>
        <v>705225.26195121952</v>
      </c>
      <c r="F54" s="511">
        <f t="shared" si="14"/>
        <v>3268536.1810597405</v>
      </c>
      <c r="G54" s="512">
        <f t="shared" si="11"/>
        <v>1130677.7547002849</v>
      </c>
      <c r="H54" s="478">
        <f t="shared" si="12"/>
        <v>1130677.7547002849</v>
      </c>
      <c r="I54" s="501">
        <f t="shared" si="15"/>
        <v>0</v>
      </c>
      <c r="J54" s="501"/>
      <c r="K54" s="513"/>
      <c r="L54" s="505">
        <f t="shared" si="16"/>
        <v>0</v>
      </c>
      <c r="M54" s="513"/>
      <c r="N54" s="505">
        <f t="shared" si="17"/>
        <v>0</v>
      </c>
      <c r="O54" s="505">
        <f t="shared" si="18"/>
        <v>0</v>
      </c>
      <c r="P54" s="279"/>
      <c r="R54" s="244"/>
      <c r="S54" s="244"/>
      <c r="T54" s="244"/>
      <c r="U54" s="244"/>
    </row>
    <row r="55" spans="2:21" ht="12.5">
      <c r="B55" s="145" t="str">
        <f t="shared" si="13"/>
        <v/>
      </c>
      <c r="C55" s="496">
        <f>IF(D11="","-",+C54+1)</f>
        <v>2051</v>
      </c>
      <c r="D55" s="509">
        <f>IF(F54+SUM(E$17:E54)=D$10,F54,D$10-SUM(E$17:E54))</f>
        <v>3268536.1810597405</v>
      </c>
      <c r="E55" s="510">
        <f>IF(+I14&lt;F54,I14,D55)</f>
        <v>705225.26195121952</v>
      </c>
      <c r="F55" s="511">
        <f t="shared" si="14"/>
        <v>2563310.9191085212</v>
      </c>
      <c r="G55" s="512">
        <f t="shared" si="11"/>
        <v>1047820.1144261437</v>
      </c>
      <c r="H55" s="478">
        <f t="shared" si="12"/>
        <v>1047820.1144261437</v>
      </c>
      <c r="I55" s="501">
        <f t="shared" si="15"/>
        <v>0</v>
      </c>
      <c r="J55" s="501"/>
      <c r="K55" s="513"/>
      <c r="L55" s="505">
        <f t="shared" si="16"/>
        <v>0</v>
      </c>
      <c r="M55" s="513"/>
      <c r="N55" s="505">
        <f t="shared" si="17"/>
        <v>0</v>
      </c>
      <c r="O55" s="505">
        <f t="shared" si="18"/>
        <v>0</v>
      </c>
      <c r="P55" s="279"/>
      <c r="R55" s="244"/>
      <c r="S55" s="244"/>
      <c r="T55" s="244"/>
      <c r="U55" s="244"/>
    </row>
    <row r="56" spans="2:21" ht="12.5">
      <c r="B56" s="145" t="str">
        <f t="shared" si="13"/>
        <v/>
      </c>
      <c r="C56" s="496">
        <f>IF(D11="","-",+C55+1)</f>
        <v>2052</v>
      </c>
      <c r="D56" s="509">
        <f>IF(F55+SUM(E$17:E55)=D$10,F55,D$10-SUM(E$17:E55))</f>
        <v>2563310.9191085212</v>
      </c>
      <c r="E56" s="510">
        <f>IF(+I14&lt;F55,I14,D56)</f>
        <v>705225.26195121952</v>
      </c>
      <c r="F56" s="511">
        <f t="shared" si="14"/>
        <v>1858085.6571573017</v>
      </c>
      <c r="G56" s="512">
        <f t="shared" si="11"/>
        <v>964962.47415200248</v>
      </c>
      <c r="H56" s="478">
        <f t="shared" si="12"/>
        <v>964962.47415200248</v>
      </c>
      <c r="I56" s="501">
        <f t="shared" si="15"/>
        <v>0</v>
      </c>
      <c r="J56" s="501"/>
      <c r="K56" s="513"/>
      <c r="L56" s="505">
        <f t="shared" si="16"/>
        <v>0</v>
      </c>
      <c r="M56" s="513"/>
      <c r="N56" s="505">
        <f t="shared" si="17"/>
        <v>0</v>
      </c>
      <c r="O56" s="505">
        <f t="shared" si="18"/>
        <v>0</v>
      </c>
      <c r="P56" s="279"/>
      <c r="R56" s="244"/>
      <c r="S56" s="244"/>
      <c r="T56" s="244"/>
      <c r="U56" s="244"/>
    </row>
    <row r="57" spans="2:21" ht="12.5">
      <c r="B57" s="145" t="str">
        <f t="shared" si="13"/>
        <v/>
      </c>
      <c r="C57" s="496">
        <f>IF(D11="","-",+C56+1)</f>
        <v>2053</v>
      </c>
      <c r="D57" s="509">
        <f>IF(F56+SUM(E$17:E56)=D$10,F56,D$10-SUM(E$17:E56))</f>
        <v>1858085.6571573017</v>
      </c>
      <c r="E57" s="510">
        <f>IF(+I14&lt;F56,I14,D57)</f>
        <v>705225.26195121952</v>
      </c>
      <c r="F57" s="511">
        <f t="shared" si="14"/>
        <v>1152860.3952060821</v>
      </c>
      <c r="G57" s="512">
        <f t="shared" si="11"/>
        <v>882104.83387786115</v>
      </c>
      <c r="H57" s="478">
        <f t="shared" si="12"/>
        <v>882104.83387786115</v>
      </c>
      <c r="I57" s="501">
        <f t="shared" si="15"/>
        <v>0</v>
      </c>
      <c r="J57" s="501"/>
      <c r="K57" s="513"/>
      <c r="L57" s="505">
        <f t="shared" si="16"/>
        <v>0</v>
      </c>
      <c r="M57" s="513"/>
      <c r="N57" s="505">
        <f t="shared" si="17"/>
        <v>0</v>
      </c>
      <c r="O57" s="505">
        <f t="shared" si="18"/>
        <v>0</v>
      </c>
      <c r="P57" s="279"/>
      <c r="R57" s="244"/>
      <c r="S57" s="244"/>
      <c r="T57" s="244"/>
      <c r="U57" s="244"/>
    </row>
    <row r="58" spans="2:21" ht="12.5">
      <c r="B58" s="145" t="str">
        <f t="shared" si="13"/>
        <v/>
      </c>
      <c r="C58" s="496">
        <f>IF(D11="","-",+C57+1)</f>
        <v>2054</v>
      </c>
      <c r="D58" s="509">
        <f>IF(F57+SUM(E$17:E57)=D$10,F57,D$10-SUM(E$17:E57))</f>
        <v>1152860.3952060821</v>
      </c>
      <c r="E58" s="510">
        <f>IF(+I14&lt;F57,I14,D58)</f>
        <v>705225.26195121952</v>
      </c>
      <c r="F58" s="511">
        <f t="shared" si="14"/>
        <v>447635.13325486262</v>
      </c>
      <c r="G58" s="512">
        <f t="shared" si="11"/>
        <v>799247.19360371993</v>
      </c>
      <c r="H58" s="478">
        <f t="shared" si="12"/>
        <v>799247.19360371993</v>
      </c>
      <c r="I58" s="501">
        <f t="shared" si="15"/>
        <v>0</v>
      </c>
      <c r="J58" s="501"/>
      <c r="K58" s="513"/>
      <c r="L58" s="505">
        <f t="shared" si="16"/>
        <v>0</v>
      </c>
      <c r="M58" s="513"/>
      <c r="N58" s="505">
        <f t="shared" si="17"/>
        <v>0</v>
      </c>
      <c r="O58" s="505">
        <f t="shared" si="18"/>
        <v>0</v>
      </c>
      <c r="P58" s="279"/>
      <c r="R58" s="244"/>
      <c r="S58" s="244"/>
      <c r="T58" s="244"/>
      <c r="U58" s="244"/>
    </row>
    <row r="59" spans="2:21" ht="12.5">
      <c r="B59" s="145" t="str">
        <f t="shared" si="13"/>
        <v/>
      </c>
      <c r="C59" s="496">
        <f>IF(D11="","-",+C58+1)</f>
        <v>2055</v>
      </c>
      <c r="D59" s="509">
        <f>IF(F58+SUM(E$17:E58)=D$10,F58,D$10-SUM(E$17:E58))</f>
        <v>447635.13325486262</v>
      </c>
      <c r="E59" s="510">
        <f>IF(+I14&lt;F58,I14,D59)</f>
        <v>447635.13325486262</v>
      </c>
      <c r="F59" s="511">
        <f t="shared" si="14"/>
        <v>0</v>
      </c>
      <c r="G59" s="512">
        <f t="shared" si="11"/>
        <v>473931.68901257752</v>
      </c>
      <c r="H59" s="478">
        <f t="shared" si="12"/>
        <v>473931.68901257752</v>
      </c>
      <c r="I59" s="501">
        <f t="shared" si="15"/>
        <v>0</v>
      </c>
      <c r="J59" s="501"/>
      <c r="K59" s="513"/>
      <c r="L59" s="505">
        <f t="shared" si="16"/>
        <v>0</v>
      </c>
      <c r="M59" s="513"/>
      <c r="N59" s="505">
        <f t="shared" si="17"/>
        <v>0</v>
      </c>
      <c r="O59" s="505">
        <f t="shared" si="18"/>
        <v>0</v>
      </c>
      <c r="P59" s="279"/>
      <c r="R59" s="244"/>
      <c r="S59" s="244"/>
      <c r="T59" s="244"/>
      <c r="U59" s="244"/>
    </row>
    <row r="60" spans="2:21" ht="12.5">
      <c r="B60" s="145" t="str">
        <f t="shared" si="13"/>
        <v/>
      </c>
      <c r="C60" s="496">
        <f>IF(D11="","-",+C59+1)</f>
        <v>2056</v>
      </c>
      <c r="D60" s="509">
        <f>IF(F59+SUM(E$17:E59)=D$10,F59,D$10-SUM(E$17:E59))</f>
        <v>0</v>
      </c>
      <c r="E60" s="510">
        <f>IF(+I14&lt;F59,I14,D60)</f>
        <v>0</v>
      </c>
      <c r="F60" s="511">
        <f t="shared" si="14"/>
        <v>0</v>
      </c>
      <c r="G60" s="512">
        <f t="shared" si="11"/>
        <v>0</v>
      </c>
      <c r="H60" s="478">
        <f t="shared" si="12"/>
        <v>0</v>
      </c>
      <c r="I60" s="501">
        <f t="shared" si="15"/>
        <v>0</v>
      </c>
      <c r="J60" s="501"/>
      <c r="K60" s="513"/>
      <c r="L60" s="505">
        <f t="shared" si="16"/>
        <v>0</v>
      </c>
      <c r="M60" s="513"/>
      <c r="N60" s="505">
        <f t="shared" si="17"/>
        <v>0</v>
      </c>
      <c r="O60" s="505">
        <f t="shared" si="18"/>
        <v>0</v>
      </c>
      <c r="P60" s="279"/>
      <c r="R60" s="244"/>
      <c r="S60" s="244"/>
      <c r="T60" s="244"/>
      <c r="U60" s="244"/>
    </row>
    <row r="61" spans="2:21" ht="12.5">
      <c r="B61" s="145" t="str">
        <f t="shared" si="13"/>
        <v/>
      </c>
      <c r="C61" s="496">
        <f>IF(D11="","-",+C60+1)</f>
        <v>2057</v>
      </c>
      <c r="D61" s="509">
        <f>IF(F60+SUM(E$17:E60)=D$10,F60,D$10-SUM(E$17:E60))</f>
        <v>0</v>
      </c>
      <c r="E61" s="510">
        <f>IF(+I14&lt;F60,I14,D61)</f>
        <v>0</v>
      </c>
      <c r="F61" s="511">
        <f t="shared" si="14"/>
        <v>0</v>
      </c>
      <c r="G61" s="512">
        <f t="shared" si="11"/>
        <v>0</v>
      </c>
      <c r="H61" s="478">
        <f t="shared" si="12"/>
        <v>0</v>
      </c>
      <c r="I61" s="501">
        <f t="shared" si="15"/>
        <v>0</v>
      </c>
      <c r="J61" s="501"/>
      <c r="K61" s="513"/>
      <c r="L61" s="505">
        <f t="shared" si="16"/>
        <v>0</v>
      </c>
      <c r="M61" s="513"/>
      <c r="N61" s="505">
        <f t="shared" si="17"/>
        <v>0</v>
      </c>
      <c r="O61" s="505">
        <f t="shared" si="18"/>
        <v>0</v>
      </c>
      <c r="P61" s="279"/>
      <c r="R61" s="244"/>
      <c r="S61" s="244"/>
      <c r="T61" s="244"/>
      <c r="U61" s="244"/>
    </row>
    <row r="62" spans="2:21" ht="12.5">
      <c r="B62" s="145" t="str">
        <f t="shared" si="13"/>
        <v/>
      </c>
      <c r="C62" s="496">
        <f>IF(D11="","-",+C61+1)</f>
        <v>2058</v>
      </c>
      <c r="D62" s="509">
        <f>IF(F61+SUM(E$17:E61)=D$10,F61,D$10-SUM(E$17:E61))</f>
        <v>0</v>
      </c>
      <c r="E62" s="510">
        <f>IF(+I14&lt;F61,I14,D62)</f>
        <v>0</v>
      </c>
      <c r="F62" s="511">
        <f t="shared" si="14"/>
        <v>0</v>
      </c>
      <c r="G62" s="524">
        <f t="shared" si="11"/>
        <v>0</v>
      </c>
      <c r="H62" s="478">
        <f t="shared" si="12"/>
        <v>0</v>
      </c>
      <c r="I62" s="501">
        <f t="shared" si="15"/>
        <v>0</v>
      </c>
      <c r="J62" s="501"/>
      <c r="K62" s="513"/>
      <c r="L62" s="505">
        <f t="shared" si="16"/>
        <v>0</v>
      </c>
      <c r="M62" s="513"/>
      <c r="N62" s="505">
        <f t="shared" si="17"/>
        <v>0</v>
      </c>
      <c r="O62" s="505">
        <f t="shared" si="18"/>
        <v>0</v>
      </c>
      <c r="P62" s="279"/>
      <c r="R62" s="244"/>
      <c r="S62" s="244"/>
      <c r="T62" s="244"/>
      <c r="U62" s="244"/>
    </row>
    <row r="63" spans="2:21" ht="12.5">
      <c r="B63" s="145" t="str">
        <f t="shared" si="13"/>
        <v/>
      </c>
      <c r="C63" s="496">
        <f>IF(D11="","-",+C62+1)</f>
        <v>2059</v>
      </c>
      <c r="D63" s="509">
        <f>IF(F62+SUM(E$17:E62)=D$10,F62,D$10-SUM(E$17:E62))</f>
        <v>0</v>
      </c>
      <c r="E63" s="510">
        <f>IF(+I14&lt;F62,I14,D63)</f>
        <v>0</v>
      </c>
      <c r="F63" s="511">
        <f t="shared" si="14"/>
        <v>0</v>
      </c>
      <c r="G63" s="524">
        <f t="shared" si="11"/>
        <v>0</v>
      </c>
      <c r="H63" s="478">
        <f t="shared" si="12"/>
        <v>0</v>
      </c>
      <c r="I63" s="501">
        <f t="shared" si="15"/>
        <v>0</v>
      </c>
      <c r="J63" s="501"/>
      <c r="K63" s="513"/>
      <c r="L63" s="505">
        <f t="shared" si="16"/>
        <v>0</v>
      </c>
      <c r="M63" s="513"/>
      <c r="N63" s="505">
        <f t="shared" si="17"/>
        <v>0</v>
      </c>
      <c r="O63" s="505">
        <f t="shared" si="18"/>
        <v>0</v>
      </c>
      <c r="P63" s="279"/>
      <c r="R63" s="244"/>
      <c r="S63" s="244"/>
      <c r="T63" s="244"/>
      <c r="U63" s="244"/>
    </row>
    <row r="64" spans="2:21" ht="12.5">
      <c r="B64" s="145" t="str">
        <f t="shared" si="13"/>
        <v/>
      </c>
      <c r="C64" s="496">
        <f>IF(D11="","-",+C63+1)</f>
        <v>2060</v>
      </c>
      <c r="D64" s="509">
        <f>IF(F63+SUM(E$17:E63)=D$10,F63,D$10-SUM(E$17:E63))</f>
        <v>0</v>
      </c>
      <c r="E64" s="510">
        <f>IF(+I14&lt;F63,I14,D64)</f>
        <v>0</v>
      </c>
      <c r="F64" s="511">
        <f t="shared" si="14"/>
        <v>0</v>
      </c>
      <c r="G64" s="524">
        <f t="shared" si="11"/>
        <v>0</v>
      </c>
      <c r="H64" s="478">
        <f t="shared" si="12"/>
        <v>0</v>
      </c>
      <c r="I64" s="501">
        <f t="shared" si="15"/>
        <v>0</v>
      </c>
      <c r="J64" s="501"/>
      <c r="K64" s="513"/>
      <c r="L64" s="505">
        <f t="shared" si="16"/>
        <v>0</v>
      </c>
      <c r="M64" s="513"/>
      <c r="N64" s="505">
        <f t="shared" si="17"/>
        <v>0</v>
      </c>
      <c r="O64" s="505">
        <f t="shared" si="18"/>
        <v>0</v>
      </c>
      <c r="P64" s="279"/>
      <c r="R64" s="244"/>
      <c r="S64" s="244"/>
      <c r="T64" s="244"/>
      <c r="U64" s="244"/>
    </row>
    <row r="65" spans="2:21" ht="12.5">
      <c r="B65" s="145" t="str">
        <f t="shared" si="13"/>
        <v/>
      </c>
      <c r="C65" s="496">
        <f>IF(D11="","-",+C64+1)</f>
        <v>2061</v>
      </c>
      <c r="D65" s="509">
        <f>IF(F64+SUM(E$17:E64)=D$10,F64,D$10-SUM(E$17:E64))</f>
        <v>0</v>
      </c>
      <c r="E65" s="510">
        <f>IF(+I14&lt;F64,I14,D65)</f>
        <v>0</v>
      </c>
      <c r="F65" s="511">
        <f t="shared" si="14"/>
        <v>0</v>
      </c>
      <c r="G65" s="524">
        <f t="shared" si="11"/>
        <v>0</v>
      </c>
      <c r="H65" s="478">
        <f t="shared" si="12"/>
        <v>0</v>
      </c>
      <c r="I65" s="501">
        <f t="shared" si="15"/>
        <v>0</v>
      </c>
      <c r="J65" s="501"/>
      <c r="K65" s="513"/>
      <c r="L65" s="505">
        <f t="shared" si="16"/>
        <v>0</v>
      </c>
      <c r="M65" s="513"/>
      <c r="N65" s="505">
        <f t="shared" si="17"/>
        <v>0</v>
      </c>
      <c r="O65" s="505">
        <f t="shared" si="18"/>
        <v>0</v>
      </c>
      <c r="P65" s="279"/>
      <c r="R65" s="244"/>
      <c r="S65" s="244"/>
      <c r="T65" s="244"/>
      <c r="U65" s="244"/>
    </row>
    <row r="66" spans="2:21" ht="12.5">
      <c r="B66" s="145" t="str">
        <f t="shared" si="13"/>
        <v/>
      </c>
      <c r="C66" s="496">
        <f>IF(D11="","-",+C65+1)</f>
        <v>2062</v>
      </c>
      <c r="D66" s="509">
        <f>IF(F65+SUM(E$17:E65)=D$10,F65,D$10-SUM(E$17:E65))</f>
        <v>0</v>
      </c>
      <c r="E66" s="510">
        <f>IF(+I14&lt;F65,I14,D66)</f>
        <v>0</v>
      </c>
      <c r="F66" s="511">
        <f t="shared" si="14"/>
        <v>0</v>
      </c>
      <c r="G66" s="524">
        <f t="shared" si="11"/>
        <v>0</v>
      </c>
      <c r="H66" s="478">
        <f t="shared" si="12"/>
        <v>0</v>
      </c>
      <c r="I66" s="501">
        <f t="shared" si="15"/>
        <v>0</v>
      </c>
      <c r="J66" s="501"/>
      <c r="K66" s="513"/>
      <c r="L66" s="505">
        <f t="shared" si="16"/>
        <v>0</v>
      </c>
      <c r="M66" s="513"/>
      <c r="N66" s="505">
        <f t="shared" si="17"/>
        <v>0</v>
      </c>
      <c r="O66" s="505">
        <f t="shared" si="18"/>
        <v>0</v>
      </c>
      <c r="P66" s="279"/>
      <c r="R66" s="244"/>
      <c r="S66" s="244"/>
      <c r="T66" s="244"/>
      <c r="U66" s="244"/>
    </row>
    <row r="67" spans="2:21" ht="12.5">
      <c r="B67" s="145" t="str">
        <f t="shared" si="13"/>
        <v/>
      </c>
      <c r="C67" s="496">
        <f>IF(D11="","-",+C66+1)</f>
        <v>2063</v>
      </c>
      <c r="D67" s="509">
        <f>IF(F66+SUM(E$17:E66)=D$10,F66,D$10-SUM(E$17:E66))</f>
        <v>0</v>
      </c>
      <c r="E67" s="510">
        <f>IF(+I14&lt;F66,I14,D67)</f>
        <v>0</v>
      </c>
      <c r="F67" s="511">
        <f t="shared" si="14"/>
        <v>0</v>
      </c>
      <c r="G67" s="524">
        <f t="shared" si="11"/>
        <v>0</v>
      </c>
      <c r="H67" s="478">
        <f t="shared" si="12"/>
        <v>0</v>
      </c>
      <c r="I67" s="501">
        <f t="shared" si="15"/>
        <v>0</v>
      </c>
      <c r="J67" s="501"/>
      <c r="K67" s="513"/>
      <c r="L67" s="505">
        <f t="shared" si="16"/>
        <v>0</v>
      </c>
      <c r="M67" s="513"/>
      <c r="N67" s="505">
        <f t="shared" si="17"/>
        <v>0</v>
      </c>
      <c r="O67" s="505">
        <f t="shared" si="18"/>
        <v>0</v>
      </c>
      <c r="P67" s="279"/>
      <c r="R67" s="244"/>
      <c r="S67" s="244"/>
      <c r="T67" s="244"/>
      <c r="U67" s="244"/>
    </row>
    <row r="68" spans="2:21" ht="12.5">
      <c r="B68" s="145" t="str">
        <f t="shared" si="13"/>
        <v/>
      </c>
      <c r="C68" s="496">
        <f>IF(D11="","-",+C67+1)</f>
        <v>2064</v>
      </c>
      <c r="D68" s="509">
        <f>IF(F67+SUM(E$17:E67)=D$10,F67,D$10-SUM(E$17:E67))</f>
        <v>0</v>
      </c>
      <c r="E68" s="510">
        <f>IF(+I14&lt;F67,I14,D68)</f>
        <v>0</v>
      </c>
      <c r="F68" s="511">
        <f t="shared" si="14"/>
        <v>0</v>
      </c>
      <c r="G68" s="524">
        <f t="shared" si="11"/>
        <v>0</v>
      </c>
      <c r="H68" s="478">
        <f t="shared" si="12"/>
        <v>0</v>
      </c>
      <c r="I68" s="501">
        <f t="shared" si="15"/>
        <v>0</v>
      </c>
      <c r="J68" s="501"/>
      <c r="K68" s="513"/>
      <c r="L68" s="505">
        <f t="shared" si="16"/>
        <v>0</v>
      </c>
      <c r="M68" s="513"/>
      <c r="N68" s="505">
        <f t="shared" si="17"/>
        <v>0</v>
      </c>
      <c r="O68" s="505">
        <f t="shared" si="18"/>
        <v>0</v>
      </c>
      <c r="P68" s="279"/>
      <c r="R68" s="244"/>
      <c r="S68" s="244"/>
      <c r="T68" s="244"/>
      <c r="U68" s="244"/>
    </row>
    <row r="69" spans="2:21" ht="12.5">
      <c r="B69" s="145" t="str">
        <f t="shared" si="13"/>
        <v/>
      </c>
      <c r="C69" s="496">
        <f>IF(D11="","-",+C68+1)</f>
        <v>2065</v>
      </c>
      <c r="D69" s="509">
        <f>IF(F68+SUM(E$17:E68)=D$10,F68,D$10-SUM(E$17:E68))</f>
        <v>0</v>
      </c>
      <c r="E69" s="510">
        <f>IF(+I14&lt;F68,I14,D69)</f>
        <v>0</v>
      </c>
      <c r="F69" s="511">
        <f t="shared" si="14"/>
        <v>0</v>
      </c>
      <c r="G69" s="524">
        <f t="shared" si="11"/>
        <v>0</v>
      </c>
      <c r="H69" s="478">
        <f t="shared" si="12"/>
        <v>0</v>
      </c>
      <c r="I69" s="501">
        <f t="shared" si="15"/>
        <v>0</v>
      </c>
      <c r="J69" s="501"/>
      <c r="K69" s="513"/>
      <c r="L69" s="505">
        <f t="shared" si="16"/>
        <v>0</v>
      </c>
      <c r="M69" s="513"/>
      <c r="N69" s="505">
        <f t="shared" si="17"/>
        <v>0</v>
      </c>
      <c r="O69" s="505">
        <f t="shared" si="18"/>
        <v>0</v>
      </c>
      <c r="P69" s="279"/>
      <c r="R69" s="244"/>
      <c r="S69" s="244"/>
      <c r="T69" s="244"/>
      <c r="U69" s="244"/>
    </row>
    <row r="70" spans="2:21" ht="12.5">
      <c r="B70" s="145" t="str">
        <f t="shared" si="13"/>
        <v/>
      </c>
      <c r="C70" s="496">
        <f>IF(D11="","-",+C69+1)</f>
        <v>2066</v>
      </c>
      <c r="D70" s="509">
        <f>IF(F69+SUM(E$17:E69)=D$10,F69,D$10-SUM(E$17:E69))</f>
        <v>0</v>
      </c>
      <c r="E70" s="510">
        <f>IF(+I14&lt;F69,I14,D70)</f>
        <v>0</v>
      </c>
      <c r="F70" s="511">
        <f t="shared" si="14"/>
        <v>0</v>
      </c>
      <c r="G70" s="524">
        <f t="shared" si="11"/>
        <v>0</v>
      </c>
      <c r="H70" s="478">
        <f t="shared" si="12"/>
        <v>0</v>
      </c>
      <c r="I70" s="501">
        <f t="shared" si="15"/>
        <v>0</v>
      </c>
      <c r="J70" s="501"/>
      <c r="K70" s="513"/>
      <c r="L70" s="505">
        <f t="shared" si="16"/>
        <v>0</v>
      </c>
      <c r="M70" s="513"/>
      <c r="N70" s="505">
        <f t="shared" si="17"/>
        <v>0</v>
      </c>
      <c r="O70" s="505">
        <f t="shared" si="18"/>
        <v>0</v>
      </c>
      <c r="P70" s="279"/>
      <c r="R70" s="244"/>
      <c r="S70" s="244"/>
      <c r="T70" s="244"/>
      <c r="U70" s="244"/>
    </row>
    <row r="71" spans="2:21" ht="12.5">
      <c r="B71" s="145" t="str">
        <f t="shared" si="13"/>
        <v/>
      </c>
      <c r="C71" s="496">
        <f>IF(D11="","-",+C70+1)</f>
        <v>2067</v>
      </c>
      <c r="D71" s="509">
        <f>IF(F70+SUM(E$17:E70)=D$10,F70,D$10-SUM(E$17:E70))</f>
        <v>0</v>
      </c>
      <c r="E71" s="510">
        <f>IF(+I14&lt;F70,I14,D71)</f>
        <v>0</v>
      </c>
      <c r="F71" s="511">
        <f t="shared" si="14"/>
        <v>0</v>
      </c>
      <c r="G71" s="524">
        <f t="shared" si="11"/>
        <v>0</v>
      </c>
      <c r="H71" s="478">
        <f t="shared" si="12"/>
        <v>0</v>
      </c>
      <c r="I71" s="501">
        <f t="shared" si="15"/>
        <v>0</v>
      </c>
      <c r="J71" s="501"/>
      <c r="K71" s="513"/>
      <c r="L71" s="505">
        <f t="shared" si="16"/>
        <v>0</v>
      </c>
      <c r="M71" s="513"/>
      <c r="N71" s="505">
        <f t="shared" si="17"/>
        <v>0</v>
      </c>
      <c r="O71" s="505">
        <f t="shared" si="18"/>
        <v>0</v>
      </c>
      <c r="P71" s="279"/>
      <c r="R71" s="244"/>
      <c r="S71" s="244"/>
      <c r="T71" s="244"/>
      <c r="U71" s="244"/>
    </row>
    <row r="72" spans="2:21" ht="12.5">
      <c r="B72" s="145" t="str">
        <f t="shared" si="13"/>
        <v/>
      </c>
      <c r="C72" s="496">
        <f>IF(D11="","-",+C71+1)</f>
        <v>2068</v>
      </c>
      <c r="D72" s="509">
        <f>IF(F71+SUM(E$17:E71)=D$10,F71,D$10-SUM(E$17:E71))</f>
        <v>0</v>
      </c>
      <c r="E72" s="510">
        <f>IF(+I14&lt;F71,I14,D72)</f>
        <v>0</v>
      </c>
      <c r="F72" s="511">
        <f t="shared" si="14"/>
        <v>0</v>
      </c>
      <c r="G72" s="524">
        <f t="shared" si="11"/>
        <v>0</v>
      </c>
      <c r="H72" s="478">
        <f t="shared" si="12"/>
        <v>0</v>
      </c>
      <c r="I72" s="501">
        <f t="shared" si="15"/>
        <v>0</v>
      </c>
      <c r="J72" s="501"/>
      <c r="K72" s="513"/>
      <c r="L72" s="505">
        <f t="shared" si="16"/>
        <v>0</v>
      </c>
      <c r="M72" s="513"/>
      <c r="N72" s="505">
        <f t="shared" si="17"/>
        <v>0</v>
      </c>
      <c r="O72" s="505">
        <f t="shared" si="18"/>
        <v>0</v>
      </c>
      <c r="P72" s="279"/>
      <c r="R72" s="244"/>
      <c r="S72" s="244"/>
      <c r="T72" s="244"/>
      <c r="U72" s="244"/>
    </row>
    <row r="73" spans="2:21" ht="13" thickBot="1">
      <c r="B73" s="145" t="str">
        <f t="shared" si="13"/>
        <v/>
      </c>
      <c r="C73" s="525">
        <f>IF(D11="","-",+C72+1)</f>
        <v>2069</v>
      </c>
      <c r="D73" s="526">
        <f>IF(F72+SUM(E$17:E72)=D$10,F72,D$10-SUM(E$17:E72))</f>
        <v>0</v>
      </c>
      <c r="E73" s="527">
        <f>IF(+I14&lt;F72,I14,D73)</f>
        <v>0</v>
      </c>
      <c r="F73" s="528">
        <f t="shared" si="14"/>
        <v>0</v>
      </c>
      <c r="G73" s="529">
        <f t="shared" si="11"/>
        <v>0</v>
      </c>
      <c r="H73" s="459">
        <f t="shared" si="12"/>
        <v>0</v>
      </c>
      <c r="I73" s="530">
        <f t="shared" si="15"/>
        <v>0</v>
      </c>
      <c r="J73" s="501"/>
      <c r="K73" s="531"/>
      <c r="L73" s="532">
        <f t="shared" si="16"/>
        <v>0</v>
      </c>
      <c r="M73" s="531"/>
      <c r="N73" s="532">
        <f t="shared" si="17"/>
        <v>0</v>
      </c>
      <c r="O73" s="532">
        <f t="shared" si="18"/>
        <v>0</v>
      </c>
      <c r="P73" s="279"/>
      <c r="R73" s="244"/>
      <c r="S73" s="244"/>
      <c r="T73" s="244"/>
      <c r="U73" s="244"/>
    </row>
    <row r="74" spans="2:21" ht="12.5">
      <c r="C74" s="350" t="s">
        <v>75</v>
      </c>
      <c r="D74" s="295"/>
      <c r="E74" s="295">
        <f>SUM(E17:E73)</f>
        <v>28914235.740000002</v>
      </c>
      <c r="F74" s="295"/>
      <c r="G74" s="295">
        <f>SUM(G17:G73)</f>
        <v>99509052.633894846</v>
      </c>
      <c r="H74" s="295">
        <f>SUM(H17:H73)</f>
        <v>99509052.633894846</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534" t="str">
        <f ca="1">P1</f>
        <v>OKT Project 6 of 19</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2019</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3514093.467191291</v>
      </c>
      <c r="N88" s="545">
        <f>IF(J93&lt;D11,0,VLOOKUP(J93,C17:O73,11))</f>
        <v>3514093.467191291</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3598058.4586434057</v>
      </c>
      <c r="N89" s="549">
        <f>IF(J93&lt;D11,0,VLOOKUP(J93,C100:P155,7))</f>
        <v>3598058.4586434057</v>
      </c>
      <c r="O89" s="550">
        <f>+N89-M89</f>
        <v>0</v>
      </c>
      <c r="P89" s="244"/>
      <c r="Q89" s="244"/>
      <c r="R89" s="244"/>
      <c r="S89" s="244"/>
      <c r="T89" s="244"/>
      <c r="U89" s="244"/>
    </row>
    <row r="90" spans="1:21" ht="13.5" thickBot="1">
      <c r="C90" s="455" t="s">
        <v>82</v>
      </c>
      <c r="D90" s="551" t="str">
        <f>+D7</f>
        <v xml:space="preserve">Canadian River - McAlester City 138 kV Line Conversion </v>
      </c>
      <c r="E90" s="244"/>
      <c r="F90" s="244"/>
      <c r="G90" s="244"/>
      <c r="H90" s="244"/>
      <c r="I90" s="326"/>
      <c r="J90" s="326"/>
      <c r="K90" s="552"/>
      <c r="L90" s="553" t="s">
        <v>135</v>
      </c>
      <c r="M90" s="554">
        <f>+M89-M88</f>
        <v>83964.991452114657</v>
      </c>
      <c r="N90" s="554">
        <f>+N89-N88</f>
        <v>83964.991452114657</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TP2009095</v>
      </c>
      <c r="E92" s="559"/>
      <c r="F92" s="559"/>
      <c r="G92" s="559"/>
      <c r="H92" s="559"/>
      <c r="I92" s="559"/>
      <c r="J92" s="559"/>
      <c r="K92" s="561"/>
      <c r="P92" s="469"/>
      <c r="Q92" s="244"/>
      <c r="R92" s="244"/>
      <c r="S92" s="244"/>
      <c r="T92" s="244"/>
      <c r="U92" s="244"/>
    </row>
    <row r="93" spans="1:21" ht="13">
      <c r="C93" s="473" t="s">
        <v>49</v>
      </c>
      <c r="D93" s="599">
        <f>D10</f>
        <v>28914235.739999998</v>
      </c>
      <c r="E93" s="249" t="s">
        <v>84</v>
      </c>
      <c r="H93" s="409"/>
      <c r="I93" s="409"/>
      <c r="J93" s="472">
        <f>+'OKT.WS.G.BPU.ATRR.True-up'!M16</f>
        <v>2019</v>
      </c>
      <c r="K93" s="468"/>
      <c r="L93" s="295" t="s">
        <v>85</v>
      </c>
      <c r="P93" s="279"/>
      <c r="Q93" s="244"/>
      <c r="R93" s="244"/>
      <c r="S93" s="244"/>
      <c r="T93" s="244"/>
      <c r="U93" s="244"/>
    </row>
    <row r="94" spans="1:21" ht="12.5">
      <c r="C94" s="473" t="s">
        <v>52</v>
      </c>
      <c r="D94" s="562">
        <v>2013</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62">
        <v>8</v>
      </c>
      <c r="E95" s="473" t="s">
        <v>55</v>
      </c>
      <c r="F95" s="409"/>
      <c r="G95" s="409"/>
      <c r="J95" s="477">
        <f>'OKT.WS.G.BPU.ATRR.True-up'!$F$81</f>
        <v>0.10800922592579221</v>
      </c>
      <c r="K95" s="414"/>
      <c r="L95" s="145" t="s">
        <v>86</v>
      </c>
      <c r="P95" s="279"/>
      <c r="Q95" s="244"/>
      <c r="R95" s="244"/>
      <c r="S95" s="244"/>
      <c r="T95" s="244"/>
      <c r="U95" s="244"/>
    </row>
    <row r="96" spans="1:21" ht="12.5">
      <c r="C96" s="473" t="s">
        <v>57</v>
      </c>
      <c r="D96" s="475">
        <f>'OKT.WS.G.BPU.ATRR.True-up'!F$93</f>
        <v>33</v>
      </c>
      <c r="E96" s="473" t="s">
        <v>58</v>
      </c>
      <c r="F96" s="409"/>
      <c r="G96" s="409"/>
      <c r="J96" s="477">
        <f>IF(H88="",J95,'OKT.WS.G.BPU.ATRR.True-up'!$F$80)</f>
        <v>0.10800922592579221</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876188.96181818179</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B100" s="145" t="str">
        <f t="shared" ref="B100:B131" si="19">IF(D100=F99,"","IU")</f>
        <v>IU</v>
      </c>
      <c r="C100" s="496">
        <f>IF(D94= "","-",D94)</f>
        <v>2013</v>
      </c>
      <c r="D100" s="497">
        <v>0</v>
      </c>
      <c r="E100" s="499">
        <v>85919.706896551725</v>
      </c>
      <c r="F100" s="506">
        <v>9880766.293103449</v>
      </c>
      <c r="G100" s="572">
        <v>4940383.1465517245</v>
      </c>
      <c r="H100" s="572">
        <v>586624.79406989401</v>
      </c>
      <c r="I100" s="572">
        <v>586624.79406989401</v>
      </c>
      <c r="J100" s="505">
        <v>0</v>
      </c>
      <c r="K100" s="505"/>
      <c r="L100" s="502">
        <f t="shared" ref="L100:L105" si="20">H100</f>
        <v>586624.79406989401</v>
      </c>
      <c r="M100" s="504">
        <f t="shared" ref="M100:M105" si="21">IF(L100&lt;&gt;0,+H100-L100,0)</f>
        <v>0</v>
      </c>
      <c r="N100" s="502">
        <f t="shared" ref="N100:N105" si="22">I100</f>
        <v>586624.79406989401</v>
      </c>
      <c r="O100" s="504">
        <f>IF(N100&lt;&gt;0,+I100-N100,0)</f>
        <v>0</v>
      </c>
      <c r="P100" s="504">
        <f>+O100-M100</f>
        <v>0</v>
      </c>
      <c r="Q100" s="244"/>
      <c r="R100" s="244"/>
      <c r="S100" s="244"/>
      <c r="T100" s="244"/>
      <c r="U100" s="244"/>
    </row>
    <row r="101" spans="1:21" ht="12.5">
      <c r="B101" s="145" t="str">
        <f t="shared" si="19"/>
        <v>IU</v>
      </c>
      <c r="C101" s="496">
        <f>IF(D94="","-",+C100+1)</f>
        <v>2014</v>
      </c>
      <c r="D101" s="497">
        <v>28596480.293103449</v>
      </c>
      <c r="E101" s="499">
        <v>494524.13793103449</v>
      </c>
      <c r="F101" s="506">
        <v>28101956.155172415</v>
      </c>
      <c r="G101" s="506">
        <v>28349218.224137932</v>
      </c>
      <c r="H101" s="499">
        <v>3716695.0108773164</v>
      </c>
      <c r="I101" s="500">
        <v>3716695.0108773164</v>
      </c>
      <c r="J101" s="505">
        <v>0</v>
      </c>
      <c r="K101" s="505"/>
      <c r="L101" s="507">
        <f t="shared" si="20"/>
        <v>3716695.0108773164</v>
      </c>
      <c r="M101" s="505">
        <f t="shared" si="21"/>
        <v>0</v>
      </c>
      <c r="N101" s="507">
        <f t="shared" si="22"/>
        <v>3716695.0108773164</v>
      </c>
      <c r="O101" s="505">
        <f>IF(N101&lt;&gt;0,+I101-N101,0)</f>
        <v>0</v>
      </c>
      <c r="P101" s="505">
        <f>+O101-M101</f>
        <v>0</v>
      </c>
      <c r="Q101" s="244"/>
      <c r="R101" s="244"/>
      <c r="S101" s="244"/>
      <c r="T101" s="244"/>
      <c r="U101" s="244"/>
    </row>
    <row r="102" spans="1:21" ht="12.5">
      <c r="B102" s="145" t="str">
        <f t="shared" si="19"/>
        <v>IU</v>
      </c>
      <c r="C102" s="496">
        <f>IF(D94="","-",+C101+1)</f>
        <v>2015</v>
      </c>
      <c r="D102" s="497">
        <v>28333791.895172413</v>
      </c>
      <c r="E102" s="499">
        <v>602379.91125</v>
      </c>
      <c r="F102" s="506">
        <v>27731411.983922414</v>
      </c>
      <c r="G102" s="506">
        <v>28032601.939547412</v>
      </c>
      <c r="H102" s="499">
        <v>3723233.4671503431</v>
      </c>
      <c r="I102" s="500">
        <v>3723233.4671503431</v>
      </c>
      <c r="J102" s="505">
        <v>0</v>
      </c>
      <c r="K102" s="505"/>
      <c r="L102" s="507">
        <f t="shared" si="20"/>
        <v>3723233.4671503431</v>
      </c>
      <c r="M102" s="505">
        <f t="shared" si="21"/>
        <v>0</v>
      </c>
      <c r="N102" s="507">
        <f t="shared" si="22"/>
        <v>3723233.4671503431</v>
      </c>
      <c r="O102" s="505">
        <f t="shared" ref="O102:O131" si="23">IF(N102&lt;&gt;0,+I102-N102,0)</f>
        <v>0</v>
      </c>
      <c r="P102" s="505">
        <f t="shared" ref="P102:P131" si="24">+O102-M102</f>
        <v>0</v>
      </c>
      <c r="Q102" s="244"/>
      <c r="R102" s="244"/>
      <c r="S102" s="244"/>
      <c r="T102" s="244"/>
      <c r="U102" s="244"/>
    </row>
    <row r="103" spans="1:21" ht="12.5">
      <c r="B103" s="145" t="str">
        <f t="shared" si="19"/>
        <v/>
      </c>
      <c r="C103" s="496">
        <f>IF(D94="","-",+C102+1)</f>
        <v>2016</v>
      </c>
      <c r="D103" s="497">
        <v>27731411.983922414</v>
      </c>
      <c r="E103" s="499">
        <v>566945.79882352939</v>
      </c>
      <c r="F103" s="506">
        <v>27164466.185098886</v>
      </c>
      <c r="G103" s="506">
        <v>27447939.08451065</v>
      </c>
      <c r="H103" s="499">
        <v>3541464.1194634419</v>
      </c>
      <c r="I103" s="500">
        <v>3541464.1194634419</v>
      </c>
      <c r="J103" s="505">
        <f t="shared" ref="J103:J131" si="25">+I103-H103</f>
        <v>0</v>
      </c>
      <c r="K103" s="505"/>
      <c r="L103" s="507">
        <f t="shared" si="20"/>
        <v>3541464.1194634419</v>
      </c>
      <c r="M103" s="505">
        <f t="shared" si="21"/>
        <v>0</v>
      </c>
      <c r="N103" s="507">
        <f t="shared" si="22"/>
        <v>3541464.1194634419</v>
      </c>
      <c r="O103" s="505">
        <f>IF(N103&lt;&gt;0,+I103-N103,0)</f>
        <v>0</v>
      </c>
      <c r="P103" s="505">
        <f>+O103-M103</f>
        <v>0</v>
      </c>
      <c r="Q103" s="244"/>
      <c r="R103" s="244"/>
      <c r="S103" s="244"/>
      <c r="T103" s="244"/>
      <c r="U103" s="244"/>
    </row>
    <row r="104" spans="1:21" ht="12.5">
      <c r="B104" s="145" t="str">
        <f t="shared" si="19"/>
        <v/>
      </c>
      <c r="C104" s="496">
        <f>IF(D94="","-",+C103+1)</f>
        <v>2017</v>
      </c>
      <c r="D104" s="497">
        <v>27164466.185098886</v>
      </c>
      <c r="E104" s="499">
        <v>722855.89350000001</v>
      </c>
      <c r="F104" s="506">
        <v>26441610.291598886</v>
      </c>
      <c r="G104" s="506">
        <v>26803038.238348886</v>
      </c>
      <c r="H104" s="499">
        <v>3867813.548691513</v>
      </c>
      <c r="I104" s="500">
        <v>3867813.548691513</v>
      </c>
      <c r="J104" s="505">
        <f t="shared" si="25"/>
        <v>0</v>
      </c>
      <c r="K104" s="505"/>
      <c r="L104" s="507">
        <f t="shared" si="20"/>
        <v>3867813.548691513</v>
      </c>
      <c r="M104" s="505">
        <f t="shared" si="21"/>
        <v>0</v>
      </c>
      <c r="N104" s="507">
        <f t="shared" si="22"/>
        <v>3867813.548691513</v>
      </c>
      <c r="O104" s="505">
        <f>IF(N104&lt;&gt;0,+I104-N104,0)</f>
        <v>0</v>
      </c>
      <c r="P104" s="505">
        <f>+O104-M104</f>
        <v>0</v>
      </c>
      <c r="Q104" s="244"/>
      <c r="R104" s="244"/>
      <c r="S104" s="244"/>
      <c r="T104" s="244"/>
      <c r="U104" s="244"/>
    </row>
    <row r="105" spans="1:21" ht="12.5">
      <c r="B105" s="145" t="str">
        <f t="shared" si="19"/>
        <v/>
      </c>
      <c r="C105" s="496">
        <f>IF(D94="","-",+C104+1)</f>
        <v>2018</v>
      </c>
      <c r="D105" s="497">
        <v>26441610.291598886</v>
      </c>
      <c r="E105" s="499">
        <v>803173.21499999997</v>
      </c>
      <c r="F105" s="506">
        <v>25638437.076598886</v>
      </c>
      <c r="G105" s="506">
        <v>26040023.684098884</v>
      </c>
      <c r="H105" s="499">
        <v>3552021.8896915987</v>
      </c>
      <c r="I105" s="500">
        <v>3552021.8896915987</v>
      </c>
      <c r="J105" s="505">
        <f t="shared" si="25"/>
        <v>0</v>
      </c>
      <c r="K105" s="505"/>
      <c r="L105" s="507">
        <f t="shared" si="20"/>
        <v>3552021.8896915987</v>
      </c>
      <c r="M105" s="505">
        <f t="shared" si="21"/>
        <v>0</v>
      </c>
      <c r="N105" s="507">
        <f t="shared" si="22"/>
        <v>3552021.8896915987</v>
      </c>
      <c r="O105" s="505">
        <f>IF(N105&lt;&gt;0,+I105-N105,0)</f>
        <v>0</v>
      </c>
      <c r="P105" s="505">
        <f>+O105-M105</f>
        <v>0</v>
      </c>
      <c r="Q105" s="244"/>
      <c r="R105" s="244"/>
      <c r="S105" s="244"/>
      <c r="T105" s="244"/>
      <c r="U105" s="244"/>
    </row>
    <row r="106" spans="1:21" ht="12.5">
      <c r="B106" s="145" t="str">
        <f t="shared" si="19"/>
        <v/>
      </c>
      <c r="C106" s="496">
        <f>IF(D94="","-",+C105+1)</f>
        <v>2019</v>
      </c>
      <c r="D106" s="350">
        <f>IF(F105+SUM(E$100:E105)=D$93,F105,D$93-SUM(E$100:E105))</f>
        <v>25638437.076598886</v>
      </c>
      <c r="E106" s="510">
        <f>IF(+J97&lt;F105,J97,D106)</f>
        <v>876188.96181818179</v>
      </c>
      <c r="F106" s="511">
        <f t="shared" ref="F106:F132" si="26">+D106-E106</f>
        <v>24762248.114780705</v>
      </c>
      <c r="G106" s="511">
        <f t="shared" ref="G106:G131" si="27">+(F106+D106)/2</f>
        <v>25200342.595689796</v>
      </c>
      <c r="H106" s="524">
        <f t="shared" ref="H106:H131" si="28">+J$95*G106+E106</f>
        <v>3598058.4586434057</v>
      </c>
      <c r="I106" s="573">
        <f t="shared" ref="I106:I131" si="29">+J$96*G106+E106</f>
        <v>3598058.4586434057</v>
      </c>
      <c r="J106" s="505">
        <f t="shared" si="25"/>
        <v>0</v>
      </c>
      <c r="K106" s="505"/>
      <c r="L106" s="513"/>
      <c r="M106" s="505">
        <f t="shared" ref="M106:M131" si="30">IF(L106&lt;&gt;0,+H106-L106,0)</f>
        <v>0</v>
      </c>
      <c r="N106" s="513"/>
      <c r="O106" s="505">
        <f t="shared" si="23"/>
        <v>0</v>
      </c>
      <c r="P106" s="505">
        <f t="shared" si="24"/>
        <v>0</v>
      </c>
      <c r="Q106" s="244"/>
      <c r="R106" s="244"/>
      <c r="S106" s="244"/>
      <c r="T106" s="244"/>
      <c r="U106" s="244"/>
    </row>
    <row r="107" spans="1:21" ht="12.5">
      <c r="B107" s="145" t="str">
        <f t="shared" si="19"/>
        <v/>
      </c>
      <c r="C107" s="496">
        <f>IF(D94="","-",+C106+1)</f>
        <v>2020</v>
      </c>
      <c r="D107" s="350">
        <f>IF(F106+SUM(E$100:E106)=D$93,F106,D$93-SUM(E$100:E106))</f>
        <v>24762248.114780705</v>
      </c>
      <c r="E107" s="510">
        <f>IF(+J97&lt;F106,J97,D107)</f>
        <v>876188.96181818179</v>
      </c>
      <c r="F107" s="511">
        <f t="shared" si="26"/>
        <v>23886059.152962524</v>
      </c>
      <c r="G107" s="511">
        <f t="shared" si="27"/>
        <v>24324153.633871615</v>
      </c>
      <c r="H107" s="524">
        <f t="shared" si="28"/>
        <v>3503421.9671127005</v>
      </c>
      <c r="I107" s="573">
        <f t="shared" si="29"/>
        <v>3503421.9671127005</v>
      </c>
      <c r="J107" s="505">
        <f t="shared" si="25"/>
        <v>0</v>
      </c>
      <c r="K107" s="505"/>
      <c r="L107" s="513"/>
      <c r="M107" s="505">
        <f t="shared" si="30"/>
        <v>0</v>
      </c>
      <c r="N107" s="513"/>
      <c r="O107" s="505">
        <f t="shared" si="23"/>
        <v>0</v>
      </c>
      <c r="P107" s="505">
        <f t="shared" si="24"/>
        <v>0</v>
      </c>
      <c r="Q107" s="244"/>
      <c r="R107" s="244"/>
      <c r="S107" s="244"/>
      <c r="T107" s="244"/>
      <c r="U107" s="244"/>
    </row>
    <row r="108" spans="1:21" ht="12.5">
      <c r="B108" s="145" t="str">
        <f t="shared" si="19"/>
        <v/>
      </c>
      <c r="C108" s="496">
        <f>IF(D94="","-",+C107+1)</f>
        <v>2021</v>
      </c>
      <c r="D108" s="350">
        <f>IF(F107+SUM(E$100:E107)=D$93,F107,D$93-SUM(E$100:E107))</f>
        <v>23886059.152962524</v>
      </c>
      <c r="E108" s="510">
        <f>IF(+J97&lt;F107,J97,D108)</f>
        <v>876188.96181818179</v>
      </c>
      <c r="F108" s="511">
        <f t="shared" si="26"/>
        <v>23009870.191144343</v>
      </c>
      <c r="G108" s="511">
        <f t="shared" si="27"/>
        <v>23447964.672053434</v>
      </c>
      <c r="H108" s="524">
        <f t="shared" si="28"/>
        <v>3408785.4755819952</v>
      </c>
      <c r="I108" s="573">
        <f t="shared" si="29"/>
        <v>3408785.4755819952</v>
      </c>
      <c r="J108" s="505">
        <f t="shared" si="25"/>
        <v>0</v>
      </c>
      <c r="K108" s="505"/>
      <c r="L108" s="513"/>
      <c r="M108" s="505">
        <f t="shared" si="30"/>
        <v>0</v>
      </c>
      <c r="N108" s="513"/>
      <c r="O108" s="505">
        <f t="shared" si="23"/>
        <v>0</v>
      </c>
      <c r="P108" s="505">
        <f t="shared" si="24"/>
        <v>0</v>
      </c>
      <c r="Q108" s="244"/>
      <c r="R108" s="244"/>
      <c r="S108" s="244"/>
      <c r="T108" s="244"/>
      <c r="U108" s="244"/>
    </row>
    <row r="109" spans="1:21" ht="12.5">
      <c r="B109" s="145" t="str">
        <f t="shared" si="19"/>
        <v/>
      </c>
      <c r="C109" s="496">
        <f>IF(D94="","-",+C108+1)</f>
        <v>2022</v>
      </c>
      <c r="D109" s="350">
        <f>IF(F108+SUM(E$100:E108)=D$93,F108,D$93-SUM(E$100:E108))</f>
        <v>23009870.191144343</v>
      </c>
      <c r="E109" s="510">
        <f>IF(+J97&lt;F108,J97,D109)</f>
        <v>876188.96181818179</v>
      </c>
      <c r="F109" s="511">
        <f t="shared" si="26"/>
        <v>22133681.229326162</v>
      </c>
      <c r="G109" s="511">
        <f t="shared" si="27"/>
        <v>22571775.710235253</v>
      </c>
      <c r="H109" s="524">
        <f t="shared" si="28"/>
        <v>3314148.9840512904</v>
      </c>
      <c r="I109" s="573">
        <f t="shared" si="29"/>
        <v>3314148.9840512904</v>
      </c>
      <c r="J109" s="505">
        <f t="shared" si="25"/>
        <v>0</v>
      </c>
      <c r="K109" s="505"/>
      <c r="L109" s="513"/>
      <c r="M109" s="505">
        <f t="shared" si="30"/>
        <v>0</v>
      </c>
      <c r="N109" s="513"/>
      <c r="O109" s="505">
        <f t="shared" si="23"/>
        <v>0</v>
      </c>
      <c r="P109" s="505">
        <f t="shared" si="24"/>
        <v>0</v>
      </c>
      <c r="Q109" s="244"/>
      <c r="R109" s="244"/>
      <c r="S109" s="244"/>
      <c r="T109" s="244"/>
      <c r="U109" s="244"/>
    </row>
    <row r="110" spans="1:21" ht="12.5">
      <c r="B110" s="145" t="str">
        <f t="shared" si="19"/>
        <v/>
      </c>
      <c r="C110" s="496">
        <f>IF(D94="","-",+C109+1)</f>
        <v>2023</v>
      </c>
      <c r="D110" s="350">
        <f>IF(F109+SUM(E$100:E109)=D$93,F109,D$93-SUM(E$100:E109))</f>
        <v>22133681.229326162</v>
      </c>
      <c r="E110" s="510">
        <f>IF(+J97&lt;F109,J97,D110)</f>
        <v>876188.96181818179</v>
      </c>
      <c r="F110" s="511">
        <f t="shared" si="26"/>
        <v>21257492.267507982</v>
      </c>
      <c r="G110" s="511">
        <f t="shared" si="27"/>
        <v>21695586.748417072</v>
      </c>
      <c r="H110" s="524">
        <f t="shared" si="28"/>
        <v>3219512.4925205852</v>
      </c>
      <c r="I110" s="573">
        <f t="shared" si="29"/>
        <v>3219512.4925205852</v>
      </c>
      <c r="J110" s="505">
        <f t="shared" si="25"/>
        <v>0</v>
      </c>
      <c r="K110" s="505"/>
      <c r="L110" s="513"/>
      <c r="M110" s="505">
        <f t="shared" si="30"/>
        <v>0</v>
      </c>
      <c r="N110" s="513"/>
      <c r="O110" s="505">
        <f t="shared" si="23"/>
        <v>0</v>
      </c>
      <c r="P110" s="505">
        <f t="shared" si="24"/>
        <v>0</v>
      </c>
      <c r="Q110" s="244"/>
      <c r="R110" s="244"/>
      <c r="S110" s="244"/>
      <c r="T110" s="244"/>
      <c r="U110" s="244"/>
    </row>
    <row r="111" spans="1:21" ht="12.5">
      <c r="B111" s="145" t="str">
        <f t="shared" si="19"/>
        <v/>
      </c>
      <c r="C111" s="496">
        <f>IF(D94="","-",+C110+1)</f>
        <v>2024</v>
      </c>
      <c r="D111" s="350">
        <f>IF(F110+SUM(E$100:E110)=D$93,F110,D$93-SUM(E$100:E110))</f>
        <v>21257492.267507982</v>
      </c>
      <c r="E111" s="510">
        <f>IF(+J97&lt;F110,J97,D111)</f>
        <v>876188.96181818179</v>
      </c>
      <c r="F111" s="511">
        <f t="shared" si="26"/>
        <v>20381303.305689801</v>
      </c>
      <c r="G111" s="511">
        <f t="shared" si="27"/>
        <v>20819397.786598891</v>
      </c>
      <c r="H111" s="524">
        <f t="shared" si="28"/>
        <v>3124876.0009898799</v>
      </c>
      <c r="I111" s="573">
        <f t="shared" si="29"/>
        <v>3124876.0009898799</v>
      </c>
      <c r="J111" s="505">
        <f t="shared" si="25"/>
        <v>0</v>
      </c>
      <c r="K111" s="505"/>
      <c r="L111" s="513"/>
      <c r="M111" s="505">
        <f t="shared" si="30"/>
        <v>0</v>
      </c>
      <c r="N111" s="513"/>
      <c r="O111" s="505">
        <f t="shared" si="23"/>
        <v>0</v>
      </c>
      <c r="P111" s="505">
        <f t="shared" si="24"/>
        <v>0</v>
      </c>
      <c r="Q111" s="244"/>
      <c r="R111" s="244"/>
      <c r="S111" s="244"/>
      <c r="T111" s="244"/>
      <c r="U111" s="244"/>
    </row>
    <row r="112" spans="1:21" ht="12.5">
      <c r="B112" s="145" t="str">
        <f t="shared" si="19"/>
        <v/>
      </c>
      <c r="C112" s="496">
        <f>IF(D94="","-",+C111+1)</f>
        <v>2025</v>
      </c>
      <c r="D112" s="350">
        <f>IF(F111+SUM(E$100:E111)=D$93,F111,D$93-SUM(E$100:E111))</f>
        <v>20381303.305689801</v>
      </c>
      <c r="E112" s="510">
        <f>IF(+J97&lt;F111,J97,D112)</f>
        <v>876188.96181818179</v>
      </c>
      <c r="F112" s="511">
        <f t="shared" si="26"/>
        <v>19505114.34387162</v>
      </c>
      <c r="G112" s="511">
        <f t="shared" si="27"/>
        <v>19943208.82478071</v>
      </c>
      <c r="H112" s="524">
        <f t="shared" si="28"/>
        <v>3030239.5094591747</v>
      </c>
      <c r="I112" s="573">
        <f t="shared" si="29"/>
        <v>3030239.5094591747</v>
      </c>
      <c r="J112" s="505">
        <f t="shared" si="25"/>
        <v>0</v>
      </c>
      <c r="K112" s="505"/>
      <c r="L112" s="513"/>
      <c r="M112" s="505">
        <f t="shared" si="30"/>
        <v>0</v>
      </c>
      <c r="N112" s="513"/>
      <c r="O112" s="505">
        <f t="shared" si="23"/>
        <v>0</v>
      </c>
      <c r="P112" s="505">
        <f t="shared" si="24"/>
        <v>0</v>
      </c>
      <c r="Q112" s="244"/>
      <c r="R112" s="244"/>
      <c r="S112" s="244"/>
      <c r="T112" s="244"/>
      <c r="U112" s="244"/>
    </row>
    <row r="113" spans="2:21" ht="12.5">
      <c r="B113" s="145" t="str">
        <f t="shared" si="19"/>
        <v/>
      </c>
      <c r="C113" s="496">
        <f>IF(D94="","-",+C112+1)</f>
        <v>2026</v>
      </c>
      <c r="D113" s="350">
        <f>IF(F112+SUM(E$100:E112)=D$93,F112,D$93-SUM(E$100:E112))</f>
        <v>19505114.34387162</v>
      </c>
      <c r="E113" s="510">
        <f>IF(+J97&lt;F112,J97,D113)</f>
        <v>876188.96181818179</v>
      </c>
      <c r="F113" s="511">
        <f t="shared" si="26"/>
        <v>18628925.382053439</v>
      </c>
      <c r="G113" s="511">
        <f t="shared" si="27"/>
        <v>19067019.862962529</v>
      </c>
      <c r="H113" s="524">
        <f t="shared" si="28"/>
        <v>2935603.017928469</v>
      </c>
      <c r="I113" s="573">
        <f t="shared" si="29"/>
        <v>2935603.017928469</v>
      </c>
      <c r="J113" s="505">
        <f t="shared" si="25"/>
        <v>0</v>
      </c>
      <c r="K113" s="505"/>
      <c r="L113" s="513"/>
      <c r="M113" s="505">
        <f t="shared" si="30"/>
        <v>0</v>
      </c>
      <c r="N113" s="513"/>
      <c r="O113" s="505">
        <f t="shared" si="23"/>
        <v>0</v>
      </c>
      <c r="P113" s="505">
        <f t="shared" si="24"/>
        <v>0</v>
      </c>
      <c r="Q113" s="244"/>
      <c r="R113" s="244"/>
      <c r="S113" s="244"/>
      <c r="T113" s="244"/>
      <c r="U113" s="244"/>
    </row>
    <row r="114" spans="2:21" ht="12.5">
      <c r="B114" s="145" t="str">
        <f t="shared" si="19"/>
        <v/>
      </c>
      <c r="C114" s="496">
        <f>IF(D94="","-",+C113+1)</f>
        <v>2027</v>
      </c>
      <c r="D114" s="350">
        <f>IF(F113+SUM(E$100:E113)=D$93,F113,D$93-SUM(E$100:E113))</f>
        <v>18628925.382053439</v>
      </c>
      <c r="E114" s="510">
        <f>IF(+J97&lt;F113,J97,D114)</f>
        <v>876188.96181818179</v>
      </c>
      <c r="F114" s="511">
        <f t="shared" si="26"/>
        <v>17752736.420235258</v>
      </c>
      <c r="G114" s="511">
        <f t="shared" si="27"/>
        <v>18190830.901144348</v>
      </c>
      <c r="H114" s="524">
        <f t="shared" si="28"/>
        <v>2840966.5263977638</v>
      </c>
      <c r="I114" s="573">
        <f t="shared" si="29"/>
        <v>2840966.5263977638</v>
      </c>
      <c r="J114" s="505">
        <f t="shared" si="25"/>
        <v>0</v>
      </c>
      <c r="K114" s="505"/>
      <c r="L114" s="513"/>
      <c r="M114" s="505">
        <f t="shared" si="30"/>
        <v>0</v>
      </c>
      <c r="N114" s="513"/>
      <c r="O114" s="505">
        <f t="shared" si="23"/>
        <v>0</v>
      </c>
      <c r="P114" s="505">
        <f t="shared" si="24"/>
        <v>0</v>
      </c>
      <c r="Q114" s="244"/>
      <c r="R114" s="244"/>
      <c r="S114" s="244"/>
      <c r="T114" s="244"/>
      <c r="U114" s="244"/>
    </row>
    <row r="115" spans="2:21" ht="12.5">
      <c r="B115" s="145" t="str">
        <f t="shared" si="19"/>
        <v/>
      </c>
      <c r="C115" s="496">
        <f>IF(D94="","-",+C114+1)</f>
        <v>2028</v>
      </c>
      <c r="D115" s="350">
        <f>IF(F114+SUM(E$100:E114)=D$93,F114,D$93-SUM(E$100:E114))</f>
        <v>17752736.420235258</v>
      </c>
      <c r="E115" s="510">
        <f>IF(+J97&lt;F114,J97,D115)</f>
        <v>876188.96181818179</v>
      </c>
      <c r="F115" s="511">
        <f t="shared" si="26"/>
        <v>16876547.458417077</v>
      </c>
      <c r="G115" s="511">
        <f t="shared" si="27"/>
        <v>17314641.939326167</v>
      </c>
      <c r="H115" s="524">
        <f t="shared" si="28"/>
        <v>2746330.0348670585</v>
      </c>
      <c r="I115" s="573">
        <f t="shared" si="29"/>
        <v>2746330.0348670585</v>
      </c>
      <c r="J115" s="505">
        <f t="shared" si="25"/>
        <v>0</v>
      </c>
      <c r="K115" s="505"/>
      <c r="L115" s="513"/>
      <c r="M115" s="505">
        <f t="shared" si="30"/>
        <v>0</v>
      </c>
      <c r="N115" s="513"/>
      <c r="O115" s="505">
        <f t="shared" si="23"/>
        <v>0</v>
      </c>
      <c r="P115" s="505">
        <f t="shared" si="24"/>
        <v>0</v>
      </c>
      <c r="Q115" s="244"/>
      <c r="R115" s="244"/>
      <c r="S115" s="244"/>
      <c r="T115" s="244"/>
      <c r="U115" s="244"/>
    </row>
    <row r="116" spans="2:21" ht="12.5">
      <c r="B116" s="145" t="str">
        <f t="shared" si="19"/>
        <v/>
      </c>
      <c r="C116" s="496">
        <f>IF(D94="","-",+C115+1)</f>
        <v>2029</v>
      </c>
      <c r="D116" s="350">
        <f>IF(F115+SUM(E$100:E115)=D$93,F115,D$93-SUM(E$100:E115))</f>
        <v>16876547.458417077</v>
      </c>
      <c r="E116" s="510">
        <f>IF(+J97&lt;F115,J97,D116)</f>
        <v>876188.96181818179</v>
      </c>
      <c r="F116" s="511">
        <f t="shared" si="26"/>
        <v>16000358.496598896</v>
      </c>
      <c r="G116" s="511">
        <f t="shared" si="27"/>
        <v>16438452.977507986</v>
      </c>
      <c r="H116" s="524">
        <f t="shared" si="28"/>
        <v>2651693.5433363533</v>
      </c>
      <c r="I116" s="573">
        <f t="shared" si="29"/>
        <v>2651693.5433363533</v>
      </c>
      <c r="J116" s="505">
        <f t="shared" si="25"/>
        <v>0</v>
      </c>
      <c r="K116" s="505"/>
      <c r="L116" s="513"/>
      <c r="M116" s="505">
        <f t="shared" si="30"/>
        <v>0</v>
      </c>
      <c r="N116" s="513"/>
      <c r="O116" s="505">
        <f t="shared" si="23"/>
        <v>0</v>
      </c>
      <c r="P116" s="505">
        <f t="shared" si="24"/>
        <v>0</v>
      </c>
      <c r="Q116" s="244"/>
      <c r="R116" s="244"/>
      <c r="S116" s="244"/>
      <c r="T116" s="244"/>
      <c r="U116" s="244"/>
    </row>
    <row r="117" spans="2:21" ht="12.5">
      <c r="B117" s="145" t="str">
        <f t="shared" si="19"/>
        <v/>
      </c>
      <c r="C117" s="496">
        <f>IF(D94="","-",+C116+1)</f>
        <v>2030</v>
      </c>
      <c r="D117" s="350">
        <f>IF(F116+SUM(E$100:E116)=D$93,F116,D$93-SUM(E$100:E116))</f>
        <v>16000358.496598896</v>
      </c>
      <c r="E117" s="510">
        <f>IF(+J97&lt;F116,J97,D117)</f>
        <v>876188.96181818179</v>
      </c>
      <c r="F117" s="511">
        <f t="shared" si="26"/>
        <v>15124169.534780715</v>
      </c>
      <c r="G117" s="511">
        <f t="shared" si="27"/>
        <v>15562264.015689805</v>
      </c>
      <c r="H117" s="524">
        <f t="shared" si="28"/>
        <v>2557057.051805648</v>
      </c>
      <c r="I117" s="573">
        <f t="shared" si="29"/>
        <v>2557057.051805648</v>
      </c>
      <c r="J117" s="505">
        <f t="shared" si="25"/>
        <v>0</v>
      </c>
      <c r="K117" s="505"/>
      <c r="L117" s="513"/>
      <c r="M117" s="505">
        <f t="shared" si="30"/>
        <v>0</v>
      </c>
      <c r="N117" s="513"/>
      <c r="O117" s="505">
        <f t="shared" si="23"/>
        <v>0</v>
      </c>
      <c r="P117" s="505">
        <f t="shared" si="24"/>
        <v>0</v>
      </c>
      <c r="Q117" s="244"/>
      <c r="R117" s="244"/>
      <c r="S117" s="244"/>
      <c r="T117" s="244"/>
      <c r="U117" s="244"/>
    </row>
    <row r="118" spans="2:21" ht="12.5">
      <c r="B118" s="145" t="str">
        <f t="shared" si="19"/>
        <v/>
      </c>
      <c r="C118" s="496">
        <f>IF(D94="","-",+C117+1)</f>
        <v>2031</v>
      </c>
      <c r="D118" s="350">
        <f>IF(F117+SUM(E$100:E117)=D$93,F117,D$93-SUM(E$100:E117))</f>
        <v>15124169.534780715</v>
      </c>
      <c r="E118" s="510">
        <f>IF(+J97&lt;F117,J97,D118)</f>
        <v>876188.96181818179</v>
      </c>
      <c r="F118" s="511">
        <f t="shared" si="26"/>
        <v>14247980.572962534</v>
      </c>
      <c r="G118" s="511">
        <f t="shared" si="27"/>
        <v>14686075.053871624</v>
      </c>
      <c r="H118" s="524">
        <f t="shared" si="28"/>
        <v>2462420.5602749428</v>
      </c>
      <c r="I118" s="573">
        <f t="shared" si="29"/>
        <v>2462420.5602749428</v>
      </c>
      <c r="J118" s="505">
        <f t="shared" si="25"/>
        <v>0</v>
      </c>
      <c r="K118" s="505"/>
      <c r="L118" s="513"/>
      <c r="M118" s="505">
        <f t="shared" si="30"/>
        <v>0</v>
      </c>
      <c r="N118" s="513"/>
      <c r="O118" s="505">
        <f t="shared" si="23"/>
        <v>0</v>
      </c>
      <c r="P118" s="505">
        <f t="shared" si="24"/>
        <v>0</v>
      </c>
      <c r="Q118" s="244"/>
      <c r="R118" s="244"/>
      <c r="S118" s="244"/>
      <c r="T118" s="244"/>
      <c r="U118" s="244"/>
    </row>
    <row r="119" spans="2:21" ht="12.5">
      <c r="B119" s="145" t="str">
        <f t="shared" si="19"/>
        <v/>
      </c>
      <c r="C119" s="496">
        <f>IF(D94="","-",+C118+1)</f>
        <v>2032</v>
      </c>
      <c r="D119" s="350">
        <f>IF(F118+SUM(E$100:E118)=D$93,F118,D$93-SUM(E$100:E118))</f>
        <v>14247980.572962534</v>
      </c>
      <c r="E119" s="510">
        <f>IF(+J97&lt;F118,J97,D119)</f>
        <v>876188.96181818179</v>
      </c>
      <c r="F119" s="511">
        <f t="shared" si="26"/>
        <v>13371791.611144353</v>
      </c>
      <c r="G119" s="511">
        <f t="shared" si="27"/>
        <v>13809886.092053443</v>
      </c>
      <c r="H119" s="524">
        <f t="shared" si="28"/>
        <v>2367784.068744238</v>
      </c>
      <c r="I119" s="573">
        <f t="shared" si="29"/>
        <v>2367784.068744238</v>
      </c>
      <c r="J119" s="505">
        <f t="shared" si="25"/>
        <v>0</v>
      </c>
      <c r="K119" s="505"/>
      <c r="L119" s="513"/>
      <c r="M119" s="505">
        <f t="shared" si="30"/>
        <v>0</v>
      </c>
      <c r="N119" s="513"/>
      <c r="O119" s="505">
        <f t="shared" si="23"/>
        <v>0</v>
      </c>
      <c r="P119" s="505">
        <f t="shared" si="24"/>
        <v>0</v>
      </c>
      <c r="Q119" s="244"/>
      <c r="R119" s="244"/>
      <c r="S119" s="244"/>
      <c r="T119" s="244"/>
      <c r="U119" s="244"/>
    </row>
    <row r="120" spans="2:21" ht="12.5">
      <c r="B120" s="145" t="str">
        <f t="shared" si="19"/>
        <v/>
      </c>
      <c r="C120" s="496">
        <f>IF(D94="","-",+C119+1)</f>
        <v>2033</v>
      </c>
      <c r="D120" s="350">
        <f>IF(F119+SUM(E$100:E119)=D$93,F119,D$93-SUM(E$100:E119))</f>
        <v>13371791.611144353</v>
      </c>
      <c r="E120" s="510">
        <f>IF(+J97&lt;F119,J97,D120)</f>
        <v>876188.96181818179</v>
      </c>
      <c r="F120" s="511">
        <f t="shared" si="26"/>
        <v>12495602.649326172</v>
      </c>
      <c r="G120" s="511">
        <f t="shared" si="27"/>
        <v>12933697.130235262</v>
      </c>
      <c r="H120" s="524">
        <f t="shared" si="28"/>
        <v>2273147.5772135328</v>
      </c>
      <c r="I120" s="573">
        <f t="shared" si="29"/>
        <v>2273147.5772135328</v>
      </c>
      <c r="J120" s="505">
        <f t="shared" si="25"/>
        <v>0</v>
      </c>
      <c r="K120" s="505"/>
      <c r="L120" s="513"/>
      <c r="M120" s="505">
        <f t="shared" si="30"/>
        <v>0</v>
      </c>
      <c r="N120" s="513"/>
      <c r="O120" s="505">
        <f t="shared" si="23"/>
        <v>0</v>
      </c>
      <c r="P120" s="505">
        <f t="shared" si="24"/>
        <v>0</v>
      </c>
      <c r="Q120" s="244"/>
      <c r="R120" s="244"/>
      <c r="S120" s="244"/>
      <c r="T120" s="244"/>
      <c r="U120" s="244"/>
    </row>
    <row r="121" spans="2:21" ht="12.5">
      <c r="B121" s="145" t="str">
        <f t="shared" si="19"/>
        <v/>
      </c>
      <c r="C121" s="496">
        <f>IF(D94="","-",+C120+1)</f>
        <v>2034</v>
      </c>
      <c r="D121" s="350">
        <f>IF(F120+SUM(E$100:E120)=D$93,F120,D$93-SUM(E$100:E120))</f>
        <v>12495602.649326172</v>
      </c>
      <c r="E121" s="510">
        <f>IF(+J97&lt;F120,J97,D121)</f>
        <v>876188.96181818179</v>
      </c>
      <c r="F121" s="511">
        <f t="shared" si="26"/>
        <v>11619413.687507991</v>
      </c>
      <c r="G121" s="511">
        <f t="shared" si="27"/>
        <v>12057508.168417081</v>
      </c>
      <c r="H121" s="524">
        <f t="shared" si="28"/>
        <v>2178511.0856828275</v>
      </c>
      <c r="I121" s="573">
        <f t="shared" si="29"/>
        <v>2178511.0856828275</v>
      </c>
      <c r="J121" s="505">
        <f t="shared" si="25"/>
        <v>0</v>
      </c>
      <c r="K121" s="505"/>
      <c r="L121" s="513"/>
      <c r="M121" s="505">
        <f t="shared" si="30"/>
        <v>0</v>
      </c>
      <c r="N121" s="513"/>
      <c r="O121" s="505">
        <f t="shared" si="23"/>
        <v>0</v>
      </c>
      <c r="P121" s="505">
        <f t="shared" si="24"/>
        <v>0</v>
      </c>
      <c r="Q121" s="244"/>
      <c r="R121" s="244"/>
      <c r="S121" s="244"/>
      <c r="T121" s="244"/>
      <c r="U121" s="244"/>
    </row>
    <row r="122" spans="2:21" ht="12.5">
      <c r="B122" s="145" t="str">
        <f t="shared" si="19"/>
        <v/>
      </c>
      <c r="C122" s="496">
        <f>IF(D94="","-",+C121+1)</f>
        <v>2035</v>
      </c>
      <c r="D122" s="350">
        <f>IF(F121+SUM(E$100:E121)=D$93,F121,D$93-SUM(E$100:E121))</f>
        <v>11619413.687507991</v>
      </c>
      <c r="E122" s="510">
        <f>IF(+J97&lt;F121,J97,D122)</f>
        <v>876188.96181818179</v>
      </c>
      <c r="F122" s="511">
        <f t="shared" si="26"/>
        <v>10743224.72568981</v>
      </c>
      <c r="G122" s="511">
        <f t="shared" si="27"/>
        <v>11181319.2065989</v>
      </c>
      <c r="H122" s="524">
        <f t="shared" si="28"/>
        <v>2083874.5941521223</v>
      </c>
      <c r="I122" s="573">
        <f t="shared" si="29"/>
        <v>2083874.5941521223</v>
      </c>
      <c r="J122" s="505">
        <f t="shared" si="25"/>
        <v>0</v>
      </c>
      <c r="K122" s="505"/>
      <c r="L122" s="513"/>
      <c r="M122" s="505">
        <f t="shared" si="30"/>
        <v>0</v>
      </c>
      <c r="N122" s="513"/>
      <c r="O122" s="505">
        <f t="shared" si="23"/>
        <v>0</v>
      </c>
      <c r="P122" s="505">
        <f t="shared" si="24"/>
        <v>0</v>
      </c>
      <c r="Q122" s="244"/>
      <c r="R122" s="244"/>
      <c r="S122" s="244"/>
      <c r="T122" s="244"/>
      <c r="U122" s="244"/>
    </row>
    <row r="123" spans="2:21" ht="12.5">
      <c r="B123" s="145" t="str">
        <f t="shared" si="19"/>
        <v/>
      </c>
      <c r="C123" s="496">
        <f>IF(D94="","-",+C122+1)</f>
        <v>2036</v>
      </c>
      <c r="D123" s="350">
        <f>IF(F122+SUM(E$100:E122)=D$93,F122,D$93-SUM(E$100:E122))</f>
        <v>10743224.72568981</v>
      </c>
      <c r="E123" s="510">
        <f>IF(+J97&lt;F122,J97,D123)</f>
        <v>876188.96181818179</v>
      </c>
      <c r="F123" s="511">
        <f t="shared" si="26"/>
        <v>9867035.7638716288</v>
      </c>
      <c r="G123" s="511">
        <f t="shared" si="27"/>
        <v>10305130.244780719</v>
      </c>
      <c r="H123" s="524">
        <f t="shared" si="28"/>
        <v>1989238.102621417</v>
      </c>
      <c r="I123" s="573">
        <f t="shared" si="29"/>
        <v>1989238.102621417</v>
      </c>
      <c r="J123" s="505">
        <f t="shared" si="25"/>
        <v>0</v>
      </c>
      <c r="K123" s="505"/>
      <c r="L123" s="513"/>
      <c r="M123" s="505">
        <f t="shared" si="30"/>
        <v>0</v>
      </c>
      <c r="N123" s="513"/>
      <c r="O123" s="505">
        <f t="shared" si="23"/>
        <v>0</v>
      </c>
      <c r="P123" s="505">
        <f t="shared" si="24"/>
        <v>0</v>
      </c>
      <c r="Q123" s="244"/>
      <c r="R123" s="244"/>
      <c r="S123" s="244"/>
      <c r="T123" s="244"/>
      <c r="U123" s="244"/>
    </row>
    <row r="124" spans="2:21" ht="12.5">
      <c r="B124" s="145" t="str">
        <f t="shared" si="19"/>
        <v/>
      </c>
      <c r="C124" s="496">
        <f>IF(D94="","-",+C123+1)</f>
        <v>2037</v>
      </c>
      <c r="D124" s="350">
        <f>IF(F123+SUM(E$100:E123)=D$93,F123,D$93-SUM(E$100:E123))</f>
        <v>9867035.7638716288</v>
      </c>
      <c r="E124" s="510">
        <f>IF(+J97&lt;F123,J97,D124)</f>
        <v>876188.96181818179</v>
      </c>
      <c r="F124" s="511">
        <f t="shared" si="26"/>
        <v>8990846.8020534478</v>
      </c>
      <c r="G124" s="511">
        <f t="shared" si="27"/>
        <v>9428941.2829625383</v>
      </c>
      <c r="H124" s="524">
        <f t="shared" si="28"/>
        <v>1894601.6110907118</v>
      </c>
      <c r="I124" s="573">
        <f t="shared" si="29"/>
        <v>1894601.6110907118</v>
      </c>
      <c r="J124" s="505">
        <f t="shared" si="25"/>
        <v>0</v>
      </c>
      <c r="K124" s="505"/>
      <c r="L124" s="513"/>
      <c r="M124" s="505">
        <f t="shared" si="30"/>
        <v>0</v>
      </c>
      <c r="N124" s="513"/>
      <c r="O124" s="505">
        <f t="shared" si="23"/>
        <v>0</v>
      </c>
      <c r="P124" s="505">
        <f t="shared" si="24"/>
        <v>0</v>
      </c>
      <c r="Q124" s="244"/>
      <c r="R124" s="244"/>
      <c r="S124" s="244"/>
      <c r="T124" s="244"/>
      <c r="U124" s="244"/>
    </row>
    <row r="125" spans="2:21" ht="12.5">
      <c r="B125" s="145" t="str">
        <f t="shared" si="19"/>
        <v/>
      </c>
      <c r="C125" s="496">
        <f>IF(D94="","-",+C124+1)</f>
        <v>2038</v>
      </c>
      <c r="D125" s="350">
        <f>IF(F124+SUM(E$100:E124)=D$93,F124,D$93-SUM(E$100:E124))</f>
        <v>8990846.8020534478</v>
      </c>
      <c r="E125" s="510">
        <f>IF(+J97&lt;F124,J97,D125)</f>
        <v>876188.96181818179</v>
      </c>
      <c r="F125" s="511">
        <f t="shared" si="26"/>
        <v>8114657.8402352659</v>
      </c>
      <c r="G125" s="511">
        <f t="shared" si="27"/>
        <v>8552752.3211443573</v>
      </c>
      <c r="H125" s="524">
        <f t="shared" si="28"/>
        <v>1799965.1195600065</v>
      </c>
      <c r="I125" s="573">
        <f t="shared" si="29"/>
        <v>1799965.1195600065</v>
      </c>
      <c r="J125" s="505">
        <f t="shared" si="25"/>
        <v>0</v>
      </c>
      <c r="K125" s="505"/>
      <c r="L125" s="513"/>
      <c r="M125" s="505">
        <f t="shared" si="30"/>
        <v>0</v>
      </c>
      <c r="N125" s="513"/>
      <c r="O125" s="505">
        <f t="shared" si="23"/>
        <v>0</v>
      </c>
      <c r="P125" s="505">
        <f t="shared" si="24"/>
        <v>0</v>
      </c>
      <c r="Q125" s="244"/>
      <c r="R125" s="244"/>
      <c r="S125" s="244"/>
      <c r="T125" s="244"/>
      <c r="U125" s="244"/>
    </row>
    <row r="126" spans="2:21" ht="12.5">
      <c r="B126" s="145" t="str">
        <f t="shared" si="19"/>
        <v/>
      </c>
      <c r="C126" s="496">
        <f>IF(D94="","-",+C125+1)</f>
        <v>2039</v>
      </c>
      <c r="D126" s="350">
        <f>IF(F125+SUM(E$100:E125)=D$93,F125,D$93-SUM(E$100:E125))</f>
        <v>8114657.8402352659</v>
      </c>
      <c r="E126" s="510">
        <f>IF(+J97&lt;F125,J97,D126)</f>
        <v>876188.96181818179</v>
      </c>
      <c r="F126" s="511">
        <f t="shared" si="26"/>
        <v>7238468.878417084</v>
      </c>
      <c r="G126" s="511">
        <f t="shared" si="27"/>
        <v>7676563.3593261745</v>
      </c>
      <c r="H126" s="524">
        <f t="shared" si="28"/>
        <v>1705328.6280293008</v>
      </c>
      <c r="I126" s="573">
        <f t="shared" si="29"/>
        <v>1705328.6280293008</v>
      </c>
      <c r="J126" s="505">
        <f t="shared" si="25"/>
        <v>0</v>
      </c>
      <c r="K126" s="505"/>
      <c r="L126" s="513"/>
      <c r="M126" s="505">
        <f t="shared" si="30"/>
        <v>0</v>
      </c>
      <c r="N126" s="513"/>
      <c r="O126" s="505">
        <f t="shared" si="23"/>
        <v>0</v>
      </c>
      <c r="P126" s="505">
        <f t="shared" si="24"/>
        <v>0</v>
      </c>
      <c r="Q126" s="244"/>
      <c r="R126" s="244"/>
      <c r="S126" s="244"/>
      <c r="T126" s="244"/>
      <c r="U126" s="244"/>
    </row>
    <row r="127" spans="2:21" ht="12.5">
      <c r="B127" s="145" t="str">
        <f t="shared" si="19"/>
        <v/>
      </c>
      <c r="C127" s="496">
        <f>IF(D94="","-",+C126+1)</f>
        <v>2040</v>
      </c>
      <c r="D127" s="350">
        <f>IF(F126+SUM(E$100:E126)=D$93,F126,D$93-SUM(E$100:E126))</f>
        <v>7238468.878417084</v>
      </c>
      <c r="E127" s="510">
        <f>IF(+J97&lt;F126,J97,D127)</f>
        <v>876188.96181818179</v>
      </c>
      <c r="F127" s="511">
        <f t="shared" si="26"/>
        <v>6362279.9165989021</v>
      </c>
      <c r="G127" s="511">
        <f t="shared" si="27"/>
        <v>6800374.3975079935</v>
      </c>
      <c r="H127" s="524">
        <f t="shared" si="28"/>
        <v>1610692.1364985956</v>
      </c>
      <c r="I127" s="573">
        <f t="shared" si="29"/>
        <v>1610692.1364985956</v>
      </c>
      <c r="J127" s="505">
        <f t="shared" si="25"/>
        <v>0</v>
      </c>
      <c r="K127" s="505"/>
      <c r="L127" s="513"/>
      <c r="M127" s="505">
        <f t="shared" si="30"/>
        <v>0</v>
      </c>
      <c r="N127" s="513"/>
      <c r="O127" s="505">
        <f t="shared" si="23"/>
        <v>0</v>
      </c>
      <c r="P127" s="505">
        <f t="shared" si="24"/>
        <v>0</v>
      </c>
      <c r="Q127" s="244"/>
      <c r="R127" s="244"/>
      <c r="S127" s="244"/>
      <c r="T127" s="244"/>
      <c r="U127" s="244"/>
    </row>
    <row r="128" spans="2:21" ht="12.5">
      <c r="B128" s="145" t="str">
        <f t="shared" si="19"/>
        <v/>
      </c>
      <c r="C128" s="496">
        <f>IF(D94="","-",+C127+1)</f>
        <v>2041</v>
      </c>
      <c r="D128" s="350">
        <f>IF(F127+SUM(E$100:E127)=D$93,F127,D$93-SUM(E$100:E127))</f>
        <v>6362279.9165989021</v>
      </c>
      <c r="E128" s="510">
        <f>IF(+J97&lt;F127,J97,D128)</f>
        <v>876188.96181818179</v>
      </c>
      <c r="F128" s="511">
        <f t="shared" si="26"/>
        <v>5486090.9547807202</v>
      </c>
      <c r="G128" s="511">
        <f t="shared" si="27"/>
        <v>5924185.4356898107</v>
      </c>
      <c r="H128" s="524">
        <f t="shared" si="28"/>
        <v>1516055.6449678903</v>
      </c>
      <c r="I128" s="573">
        <f t="shared" si="29"/>
        <v>1516055.6449678903</v>
      </c>
      <c r="J128" s="505">
        <f t="shared" si="25"/>
        <v>0</v>
      </c>
      <c r="K128" s="505"/>
      <c r="L128" s="513"/>
      <c r="M128" s="505">
        <f t="shared" si="30"/>
        <v>0</v>
      </c>
      <c r="N128" s="513"/>
      <c r="O128" s="505">
        <f t="shared" si="23"/>
        <v>0</v>
      </c>
      <c r="P128" s="505">
        <f t="shared" si="24"/>
        <v>0</v>
      </c>
      <c r="Q128" s="244"/>
      <c r="R128" s="244"/>
      <c r="S128" s="244"/>
      <c r="T128" s="244"/>
      <c r="U128" s="244"/>
    </row>
    <row r="129" spans="2:21" ht="12.5">
      <c r="B129" s="145" t="str">
        <f t="shared" si="19"/>
        <v/>
      </c>
      <c r="C129" s="496">
        <f>IF(D94="","-",+C128+1)</f>
        <v>2042</v>
      </c>
      <c r="D129" s="350">
        <f>IF(F128+SUM(E$100:E128)=D$93,F128,D$93-SUM(E$100:E128))</f>
        <v>5486090.9547807202</v>
      </c>
      <c r="E129" s="510">
        <f>IF(+J97&lt;F128,J97,D129)</f>
        <v>876188.96181818179</v>
      </c>
      <c r="F129" s="511">
        <f t="shared" si="26"/>
        <v>4609901.9929625383</v>
      </c>
      <c r="G129" s="511">
        <f t="shared" si="27"/>
        <v>5047996.4738716297</v>
      </c>
      <c r="H129" s="524">
        <f t="shared" si="28"/>
        <v>1421419.1534371851</v>
      </c>
      <c r="I129" s="573">
        <f t="shared" si="29"/>
        <v>1421419.1534371851</v>
      </c>
      <c r="J129" s="505">
        <f t="shared" si="25"/>
        <v>0</v>
      </c>
      <c r="K129" s="505"/>
      <c r="L129" s="513"/>
      <c r="M129" s="505">
        <f t="shared" si="30"/>
        <v>0</v>
      </c>
      <c r="N129" s="513"/>
      <c r="O129" s="505">
        <f t="shared" si="23"/>
        <v>0</v>
      </c>
      <c r="P129" s="505">
        <f t="shared" si="24"/>
        <v>0</v>
      </c>
      <c r="Q129" s="244"/>
      <c r="R129" s="244"/>
      <c r="S129" s="244"/>
      <c r="T129" s="244"/>
      <c r="U129" s="244"/>
    </row>
    <row r="130" spans="2:21" ht="12.5">
      <c r="B130" s="145" t="str">
        <f t="shared" si="19"/>
        <v/>
      </c>
      <c r="C130" s="496">
        <f>IF(D94="","-",+C129+1)</f>
        <v>2043</v>
      </c>
      <c r="D130" s="350">
        <f>IF(F129+SUM(E$100:E129)=D$93,F129,D$93-SUM(E$100:E129))</f>
        <v>4609901.9929625383</v>
      </c>
      <c r="E130" s="510">
        <f>IF(+J97&lt;F129,J97,D130)</f>
        <v>876188.96181818179</v>
      </c>
      <c r="F130" s="511">
        <f t="shared" si="26"/>
        <v>3733713.0311443564</v>
      </c>
      <c r="G130" s="511">
        <f t="shared" si="27"/>
        <v>4171807.5120534473</v>
      </c>
      <c r="H130" s="524">
        <f t="shared" si="28"/>
        <v>1326782.6619064796</v>
      </c>
      <c r="I130" s="573">
        <f t="shared" si="29"/>
        <v>1326782.6619064796</v>
      </c>
      <c r="J130" s="505">
        <f t="shared" si="25"/>
        <v>0</v>
      </c>
      <c r="K130" s="505"/>
      <c r="L130" s="513"/>
      <c r="M130" s="505">
        <f t="shared" si="30"/>
        <v>0</v>
      </c>
      <c r="N130" s="513"/>
      <c r="O130" s="505">
        <f t="shared" si="23"/>
        <v>0</v>
      </c>
      <c r="P130" s="505">
        <f t="shared" si="24"/>
        <v>0</v>
      </c>
      <c r="Q130" s="244"/>
      <c r="R130" s="244"/>
      <c r="S130" s="244"/>
      <c r="T130" s="244"/>
      <c r="U130" s="244"/>
    </row>
    <row r="131" spans="2:21" ht="12.5">
      <c r="B131" s="145" t="str">
        <f t="shared" si="19"/>
        <v/>
      </c>
      <c r="C131" s="496">
        <f>IF(D94="","-",+C130+1)</f>
        <v>2044</v>
      </c>
      <c r="D131" s="350">
        <f>IF(F130+SUM(E$100:E130)=D$93,F130,D$93-SUM(E$100:E130))</f>
        <v>3733713.0311443564</v>
      </c>
      <c r="E131" s="510">
        <f>IF(+J97&lt;F130,J97,D131)</f>
        <v>876188.96181818179</v>
      </c>
      <c r="F131" s="511">
        <f t="shared" si="26"/>
        <v>2857524.0693261744</v>
      </c>
      <c r="G131" s="511">
        <f t="shared" si="27"/>
        <v>3295618.5502352654</v>
      </c>
      <c r="H131" s="524">
        <f t="shared" si="28"/>
        <v>1232146.1703757744</v>
      </c>
      <c r="I131" s="573">
        <f t="shared" si="29"/>
        <v>1232146.1703757744</v>
      </c>
      <c r="J131" s="505">
        <f t="shared" si="25"/>
        <v>0</v>
      </c>
      <c r="K131" s="505"/>
      <c r="L131" s="513"/>
      <c r="M131" s="505">
        <f t="shared" si="30"/>
        <v>0</v>
      </c>
      <c r="N131" s="513"/>
      <c r="O131" s="505">
        <f t="shared" si="23"/>
        <v>0</v>
      </c>
      <c r="P131" s="505">
        <f t="shared" si="24"/>
        <v>0</v>
      </c>
      <c r="Q131" s="244"/>
      <c r="R131" s="244"/>
      <c r="S131" s="244"/>
      <c r="T131" s="244"/>
      <c r="U131" s="244"/>
    </row>
    <row r="132" spans="2:21" ht="12.5">
      <c r="B132" s="145" t="str">
        <f t="shared" ref="B132:B155" si="31">IF(D132=F131,"","IU")</f>
        <v/>
      </c>
      <c r="C132" s="496">
        <f>IF(D94="","-",+C131+1)</f>
        <v>2045</v>
      </c>
      <c r="D132" s="350">
        <f>IF(F131+SUM(E$100:E131)=D$93,F131,D$93-SUM(E$100:E131))</f>
        <v>2857524.0693261744</v>
      </c>
      <c r="E132" s="510">
        <f>IF(+J97&lt;F131,J97,D132)</f>
        <v>876188.96181818179</v>
      </c>
      <c r="F132" s="511">
        <f t="shared" si="26"/>
        <v>1981335.1075079925</v>
      </c>
      <c r="G132" s="511">
        <f t="shared" ref="G132:G155" si="32">+(F132+D132)/2</f>
        <v>2419429.5884170835</v>
      </c>
      <c r="H132" s="524">
        <f t="shared" ref="H132:H155" si="33">+J$95*G132+E132</f>
        <v>1137509.6788450689</v>
      </c>
      <c r="I132" s="573">
        <f t="shared" ref="I132:I155" si="34">+J$96*G132+E132</f>
        <v>1137509.6788450689</v>
      </c>
      <c r="J132" s="505">
        <f t="shared" ref="J132:J155" si="35">+I132-H132</f>
        <v>0</v>
      </c>
      <c r="K132" s="505"/>
      <c r="L132" s="513"/>
      <c r="M132" s="505">
        <f t="shared" ref="M132:M155" si="36">IF(L132&lt;&gt;0,+H132-L132,0)</f>
        <v>0</v>
      </c>
      <c r="N132" s="513"/>
      <c r="O132" s="505">
        <f t="shared" ref="O132:O155" si="37">IF(N132&lt;&gt;0,+I132-N132,0)</f>
        <v>0</v>
      </c>
      <c r="P132" s="505">
        <f t="shared" ref="P132:P155" si="38">+O132-M132</f>
        <v>0</v>
      </c>
      <c r="Q132" s="244"/>
      <c r="R132" s="244"/>
      <c r="S132" s="244"/>
      <c r="T132" s="244"/>
      <c r="U132" s="244"/>
    </row>
    <row r="133" spans="2:21" ht="12.5">
      <c r="B133" s="145" t="str">
        <f t="shared" si="31"/>
        <v/>
      </c>
      <c r="C133" s="496">
        <f>IF(D94="","-",+C132+1)</f>
        <v>2046</v>
      </c>
      <c r="D133" s="350">
        <f>IF(F132+SUM(E$100:E132)=D$93,F132,D$93-SUM(E$100:E132))</f>
        <v>1981335.1075079925</v>
      </c>
      <c r="E133" s="510">
        <f>IF(+J97&lt;F132,J97,D133)</f>
        <v>876188.96181818179</v>
      </c>
      <c r="F133" s="511">
        <f t="shared" ref="F133:F155" si="39">+D133-E133</f>
        <v>1105146.1456898106</v>
      </c>
      <c r="G133" s="511">
        <f t="shared" si="32"/>
        <v>1543240.6265989016</v>
      </c>
      <c r="H133" s="524">
        <f t="shared" si="33"/>
        <v>1042873.1873143637</v>
      </c>
      <c r="I133" s="573">
        <f t="shared" si="34"/>
        <v>1042873.1873143637</v>
      </c>
      <c r="J133" s="505">
        <f t="shared" si="35"/>
        <v>0</v>
      </c>
      <c r="K133" s="505"/>
      <c r="L133" s="513"/>
      <c r="M133" s="505">
        <f t="shared" si="36"/>
        <v>0</v>
      </c>
      <c r="N133" s="513"/>
      <c r="O133" s="505">
        <f t="shared" si="37"/>
        <v>0</v>
      </c>
      <c r="P133" s="505">
        <f t="shared" si="38"/>
        <v>0</v>
      </c>
      <c r="Q133" s="244"/>
      <c r="R133" s="244"/>
      <c r="S133" s="244"/>
      <c r="T133" s="244"/>
      <c r="U133" s="244"/>
    </row>
    <row r="134" spans="2:21" ht="12.5">
      <c r="B134" s="145" t="str">
        <f t="shared" si="31"/>
        <v/>
      </c>
      <c r="C134" s="496">
        <f>IF(D94="","-",+C133+1)</f>
        <v>2047</v>
      </c>
      <c r="D134" s="350">
        <f>IF(F133+SUM(E$100:E133)=D$93,F133,D$93-SUM(E$100:E133))</f>
        <v>1105146.1456898106</v>
      </c>
      <c r="E134" s="510">
        <f>IF(+J97&lt;F133,J97,D134)</f>
        <v>876188.96181818179</v>
      </c>
      <c r="F134" s="511">
        <f t="shared" si="39"/>
        <v>228957.18387162883</v>
      </c>
      <c r="G134" s="511">
        <f t="shared" si="32"/>
        <v>667051.66478071967</v>
      </c>
      <c r="H134" s="524">
        <f t="shared" si="33"/>
        <v>948236.6957836583</v>
      </c>
      <c r="I134" s="573">
        <f t="shared" si="34"/>
        <v>948236.6957836583</v>
      </c>
      <c r="J134" s="505">
        <f t="shared" si="35"/>
        <v>0</v>
      </c>
      <c r="K134" s="505"/>
      <c r="L134" s="513"/>
      <c r="M134" s="505">
        <f t="shared" si="36"/>
        <v>0</v>
      </c>
      <c r="N134" s="513"/>
      <c r="O134" s="505">
        <f t="shared" si="37"/>
        <v>0</v>
      </c>
      <c r="P134" s="505">
        <f t="shared" si="38"/>
        <v>0</v>
      </c>
      <c r="Q134" s="244"/>
      <c r="R134" s="244"/>
      <c r="S134" s="244"/>
      <c r="T134" s="244"/>
      <c r="U134" s="244"/>
    </row>
    <row r="135" spans="2:21" ht="12.5">
      <c r="B135" s="145" t="str">
        <f t="shared" si="31"/>
        <v/>
      </c>
      <c r="C135" s="496">
        <f>IF(D94="","-",+C134+1)</f>
        <v>2048</v>
      </c>
      <c r="D135" s="350">
        <f>IF(F134+SUM(E$100:E134)=D$93,F134,D$93-SUM(E$100:E134))</f>
        <v>228957.18387162883</v>
      </c>
      <c r="E135" s="510">
        <f>IF(+J97&lt;F134,J97,D135)</f>
        <v>228957.18387162883</v>
      </c>
      <c r="F135" s="511">
        <f t="shared" si="39"/>
        <v>0</v>
      </c>
      <c r="G135" s="511">
        <f t="shared" si="32"/>
        <v>114478.59193581442</v>
      </c>
      <c r="H135" s="524">
        <f t="shared" si="33"/>
        <v>241321.92797169078</v>
      </c>
      <c r="I135" s="573">
        <f t="shared" si="34"/>
        <v>241321.92797169078</v>
      </c>
      <c r="J135" s="505">
        <f t="shared" si="35"/>
        <v>0</v>
      </c>
      <c r="K135" s="505"/>
      <c r="L135" s="513"/>
      <c r="M135" s="505">
        <f t="shared" si="36"/>
        <v>0</v>
      </c>
      <c r="N135" s="513"/>
      <c r="O135" s="505">
        <f t="shared" si="37"/>
        <v>0</v>
      </c>
      <c r="P135" s="505">
        <f t="shared" si="38"/>
        <v>0</v>
      </c>
      <c r="Q135" s="244"/>
      <c r="R135" s="244"/>
      <c r="S135" s="244"/>
      <c r="T135" s="244"/>
      <c r="U135" s="244"/>
    </row>
    <row r="136" spans="2:21" ht="12.5">
      <c r="B136" s="145" t="str">
        <f t="shared" si="31"/>
        <v/>
      </c>
      <c r="C136" s="496">
        <f>IF(D94="","-",+C135+1)</f>
        <v>2049</v>
      </c>
      <c r="D136" s="350">
        <f>IF(F135+SUM(E$100:E135)=D$93,F135,D$93-SUM(E$100:E135))</f>
        <v>0</v>
      </c>
      <c r="E136" s="510">
        <f>IF(+J97&lt;F135,J97,D136)</f>
        <v>0</v>
      </c>
      <c r="F136" s="511">
        <f t="shared" si="39"/>
        <v>0</v>
      </c>
      <c r="G136" s="511">
        <f t="shared" si="32"/>
        <v>0</v>
      </c>
      <c r="H136" s="524">
        <f t="shared" si="33"/>
        <v>0</v>
      </c>
      <c r="I136" s="573">
        <f t="shared" si="34"/>
        <v>0</v>
      </c>
      <c r="J136" s="505">
        <f t="shared" si="35"/>
        <v>0</v>
      </c>
      <c r="K136" s="505"/>
      <c r="L136" s="513"/>
      <c r="M136" s="505">
        <f t="shared" si="36"/>
        <v>0</v>
      </c>
      <c r="N136" s="513"/>
      <c r="O136" s="505">
        <f t="shared" si="37"/>
        <v>0</v>
      </c>
      <c r="P136" s="505">
        <f t="shared" si="38"/>
        <v>0</v>
      </c>
      <c r="Q136" s="244"/>
      <c r="R136" s="244"/>
      <c r="S136" s="244"/>
      <c r="T136" s="244"/>
      <c r="U136" s="244"/>
    </row>
    <row r="137" spans="2:21" ht="12.5">
      <c r="B137" s="145" t="str">
        <f t="shared" si="31"/>
        <v/>
      </c>
      <c r="C137" s="496">
        <f>IF(D94="","-",+C136+1)</f>
        <v>2050</v>
      </c>
      <c r="D137" s="350">
        <f>IF(F136+SUM(E$100:E136)=D$93,F136,D$93-SUM(E$100:E136))</f>
        <v>0</v>
      </c>
      <c r="E137" s="510">
        <f>IF(+J97&lt;F136,J97,D137)</f>
        <v>0</v>
      </c>
      <c r="F137" s="511">
        <f t="shared" si="39"/>
        <v>0</v>
      </c>
      <c r="G137" s="511">
        <f t="shared" si="32"/>
        <v>0</v>
      </c>
      <c r="H137" s="524">
        <f t="shared" si="33"/>
        <v>0</v>
      </c>
      <c r="I137" s="573">
        <f t="shared" si="34"/>
        <v>0</v>
      </c>
      <c r="J137" s="505">
        <f t="shared" si="35"/>
        <v>0</v>
      </c>
      <c r="K137" s="505"/>
      <c r="L137" s="513"/>
      <c r="M137" s="505">
        <f t="shared" si="36"/>
        <v>0</v>
      </c>
      <c r="N137" s="513"/>
      <c r="O137" s="505">
        <f t="shared" si="37"/>
        <v>0</v>
      </c>
      <c r="P137" s="505">
        <f t="shared" si="38"/>
        <v>0</v>
      </c>
      <c r="Q137" s="244"/>
      <c r="R137" s="244"/>
      <c r="S137" s="244"/>
      <c r="T137" s="244"/>
      <c r="U137" s="244"/>
    </row>
    <row r="138" spans="2:21" ht="12.5">
      <c r="B138" s="145" t="str">
        <f t="shared" si="31"/>
        <v/>
      </c>
      <c r="C138" s="496">
        <f>IF(D94="","-",+C137+1)</f>
        <v>2051</v>
      </c>
      <c r="D138" s="350">
        <f>IF(F137+SUM(E$100:E137)=D$93,F137,D$93-SUM(E$100:E137))</f>
        <v>0</v>
      </c>
      <c r="E138" s="510">
        <f>IF(+J97&lt;F137,J97,D138)</f>
        <v>0</v>
      </c>
      <c r="F138" s="511">
        <f t="shared" si="39"/>
        <v>0</v>
      </c>
      <c r="G138" s="511">
        <f t="shared" si="32"/>
        <v>0</v>
      </c>
      <c r="H138" s="524">
        <f t="shared" si="33"/>
        <v>0</v>
      </c>
      <c r="I138" s="573">
        <f t="shared" si="34"/>
        <v>0</v>
      </c>
      <c r="J138" s="505">
        <f t="shared" si="35"/>
        <v>0</v>
      </c>
      <c r="K138" s="505"/>
      <c r="L138" s="513"/>
      <c r="M138" s="505">
        <f t="shared" si="36"/>
        <v>0</v>
      </c>
      <c r="N138" s="513"/>
      <c r="O138" s="505">
        <f t="shared" si="37"/>
        <v>0</v>
      </c>
      <c r="P138" s="505">
        <f t="shared" si="38"/>
        <v>0</v>
      </c>
      <c r="Q138" s="244"/>
      <c r="R138" s="244"/>
      <c r="S138" s="244"/>
      <c r="T138" s="244"/>
      <c r="U138" s="244"/>
    </row>
    <row r="139" spans="2:21" ht="12.5">
      <c r="B139" s="145" t="str">
        <f t="shared" si="31"/>
        <v/>
      </c>
      <c r="C139" s="496">
        <f>IF(D94="","-",+C138+1)</f>
        <v>2052</v>
      </c>
      <c r="D139" s="350">
        <f>IF(F138+SUM(E$100:E138)=D$93,F138,D$93-SUM(E$100:E138))</f>
        <v>0</v>
      </c>
      <c r="E139" s="510">
        <f>IF(+J97&lt;F138,J97,D139)</f>
        <v>0</v>
      </c>
      <c r="F139" s="511">
        <f t="shared" si="39"/>
        <v>0</v>
      </c>
      <c r="G139" s="511">
        <f t="shared" si="32"/>
        <v>0</v>
      </c>
      <c r="H139" s="524">
        <f t="shared" si="33"/>
        <v>0</v>
      </c>
      <c r="I139" s="573">
        <f t="shared" si="34"/>
        <v>0</v>
      </c>
      <c r="J139" s="505">
        <f t="shared" si="35"/>
        <v>0</v>
      </c>
      <c r="K139" s="505"/>
      <c r="L139" s="513"/>
      <c r="M139" s="505">
        <f t="shared" si="36"/>
        <v>0</v>
      </c>
      <c r="N139" s="513"/>
      <c r="O139" s="505">
        <f t="shared" si="37"/>
        <v>0</v>
      </c>
      <c r="P139" s="505">
        <f t="shared" si="38"/>
        <v>0</v>
      </c>
      <c r="Q139" s="244"/>
      <c r="R139" s="244"/>
      <c r="S139" s="244"/>
      <c r="T139" s="244"/>
      <c r="U139" s="244"/>
    </row>
    <row r="140" spans="2:21" ht="12.5">
      <c r="B140" s="145" t="str">
        <f t="shared" si="31"/>
        <v/>
      </c>
      <c r="C140" s="496">
        <f>IF(D94="","-",+C139+1)</f>
        <v>2053</v>
      </c>
      <c r="D140" s="350">
        <f>IF(F139+SUM(E$100:E139)=D$93,F139,D$93-SUM(E$100:E139))</f>
        <v>0</v>
      </c>
      <c r="E140" s="510">
        <f>IF(+J97&lt;F139,J97,D140)</f>
        <v>0</v>
      </c>
      <c r="F140" s="511">
        <f t="shared" si="39"/>
        <v>0</v>
      </c>
      <c r="G140" s="511">
        <f t="shared" si="32"/>
        <v>0</v>
      </c>
      <c r="H140" s="524">
        <f t="shared" si="33"/>
        <v>0</v>
      </c>
      <c r="I140" s="573">
        <f t="shared" si="34"/>
        <v>0</v>
      </c>
      <c r="J140" s="505">
        <f t="shared" si="35"/>
        <v>0</v>
      </c>
      <c r="K140" s="505"/>
      <c r="L140" s="513"/>
      <c r="M140" s="505">
        <f t="shared" si="36"/>
        <v>0</v>
      </c>
      <c r="N140" s="513"/>
      <c r="O140" s="505">
        <f t="shared" si="37"/>
        <v>0</v>
      </c>
      <c r="P140" s="505">
        <f t="shared" si="38"/>
        <v>0</v>
      </c>
      <c r="Q140" s="244"/>
      <c r="R140" s="244"/>
      <c r="S140" s="244"/>
      <c r="T140" s="244"/>
      <c r="U140" s="244"/>
    </row>
    <row r="141" spans="2:21" ht="12.5">
      <c r="B141" s="145" t="str">
        <f t="shared" si="31"/>
        <v/>
      </c>
      <c r="C141" s="496">
        <f>IF(D94="","-",+C140+1)</f>
        <v>2054</v>
      </c>
      <c r="D141" s="350">
        <f>IF(F140+SUM(E$100:E140)=D$93,F140,D$93-SUM(E$100:E140))</f>
        <v>0</v>
      </c>
      <c r="E141" s="510">
        <f>IF(+J97&lt;F140,J97,D141)</f>
        <v>0</v>
      </c>
      <c r="F141" s="511">
        <f t="shared" si="39"/>
        <v>0</v>
      </c>
      <c r="G141" s="511">
        <f t="shared" si="32"/>
        <v>0</v>
      </c>
      <c r="H141" s="524">
        <f t="shared" si="33"/>
        <v>0</v>
      </c>
      <c r="I141" s="573">
        <f t="shared" si="34"/>
        <v>0</v>
      </c>
      <c r="J141" s="505">
        <f t="shared" si="35"/>
        <v>0</v>
      </c>
      <c r="K141" s="505"/>
      <c r="L141" s="513"/>
      <c r="M141" s="505">
        <f t="shared" si="36"/>
        <v>0</v>
      </c>
      <c r="N141" s="513"/>
      <c r="O141" s="505">
        <f t="shared" si="37"/>
        <v>0</v>
      </c>
      <c r="P141" s="505">
        <f t="shared" si="38"/>
        <v>0</v>
      </c>
      <c r="Q141" s="244"/>
      <c r="R141" s="244"/>
      <c r="S141" s="244"/>
      <c r="T141" s="244"/>
      <c r="U141" s="244"/>
    </row>
    <row r="142" spans="2:21" ht="12.5">
      <c r="B142" s="145" t="str">
        <f t="shared" si="31"/>
        <v/>
      </c>
      <c r="C142" s="496">
        <f>IF(D94="","-",+C141+1)</f>
        <v>2055</v>
      </c>
      <c r="D142" s="350">
        <f>IF(F141+SUM(E$100:E141)=D$93,F141,D$93-SUM(E$100:E141))</f>
        <v>0</v>
      </c>
      <c r="E142" s="510">
        <f>IF(+J97&lt;F141,J97,D142)</f>
        <v>0</v>
      </c>
      <c r="F142" s="511">
        <f t="shared" si="39"/>
        <v>0</v>
      </c>
      <c r="G142" s="511">
        <f t="shared" si="32"/>
        <v>0</v>
      </c>
      <c r="H142" s="524">
        <f t="shared" si="33"/>
        <v>0</v>
      </c>
      <c r="I142" s="573">
        <f t="shared" si="34"/>
        <v>0</v>
      </c>
      <c r="J142" s="505">
        <f t="shared" si="35"/>
        <v>0</v>
      </c>
      <c r="K142" s="505"/>
      <c r="L142" s="513"/>
      <c r="M142" s="505">
        <f t="shared" si="36"/>
        <v>0</v>
      </c>
      <c r="N142" s="513"/>
      <c r="O142" s="505">
        <f t="shared" si="37"/>
        <v>0</v>
      </c>
      <c r="P142" s="505">
        <f t="shared" si="38"/>
        <v>0</v>
      </c>
      <c r="Q142" s="244"/>
      <c r="R142" s="244"/>
      <c r="S142" s="244"/>
      <c r="T142" s="244"/>
      <c r="U142" s="244"/>
    </row>
    <row r="143" spans="2:21" ht="12.5">
      <c r="B143" s="145" t="str">
        <f t="shared" si="31"/>
        <v/>
      </c>
      <c r="C143" s="496">
        <f>IF(D94="","-",+C142+1)</f>
        <v>2056</v>
      </c>
      <c r="D143" s="350">
        <f>IF(F142+SUM(E$100:E142)=D$93,F142,D$93-SUM(E$100:E142))</f>
        <v>0</v>
      </c>
      <c r="E143" s="510">
        <f>IF(+J97&lt;F142,J97,D143)</f>
        <v>0</v>
      </c>
      <c r="F143" s="511">
        <f t="shared" si="39"/>
        <v>0</v>
      </c>
      <c r="G143" s="511">
        <f t="shared" si="32"/>
        <v>0</v>
      </c>
      <c r="H143" s="524">
        <f t="shared" si="33"/>
        <v>0</v>
      </c>
      <c r="I143" s="573">
        <f t="shared" si="34"/>
        <v>0</v>
      </c>
      <c r="J143" s="505">
        <f t="shared" si="35"/>
        <v>0</v>
      </c>
      <c r="K143" s="505"/>
      <c r="L143" s="513"/>
      <c r="M143" s="505">
        <f t="shared" si="36"/>
        <v>0</v>
      </c>
      <c r="N143" s="513"/>
      <c r="O143" s="505">
        <f t="shared" si="37"/>
        <v>0</v>
      </c>
      <c r="P143" s="505">
        <f t="shared" si="38"/>
        <v>0</v>
      </c>
      <c r="Q143" s="244"/>
      <c r="R143" s="244"/>
      <c r="S143" s="244"/>
      <c r="T143" s="244"/>
      <c r="U143" s="244"/>
    </row>
    <row r="144" spans="2:21" ht="12.5">
      <c r="B144" s="145" t="str">
        <f t="shared" si="31"/>
        <v/>
      </c>
      <c r="C144" s="496">
        <f>IF(D94="","-",+C143+1)</f>
        <v>2057</v>
      </c>
      <c r="D144" s="350">
        <f>IF(F143+SUM(E$100:E143)=D$93,F143,D$93-SUM(E$100:E143))</f>
        <v>0</v>
      </c>
      <c r="E144" s="510">
        <f>IF(+J97&lt;F143,J97,D144)</f>
        <v>0</v>
      </c>
      <c r="F144" s="511">
        <f t="shared" si="39"/>
        <v>0</v>
      </c>
      <c r="G144" s="511">
        <f t="shared" si="32"/>
        <v>0</v>
      </c>
      <c r="H144" s="524">
        <f t="shared" si="33"/>
        <v>0</v>
      </c>
      <c r="I144" s="573">
        <f t="shared" si="34"/>
        <v>0</v>
      </c>
      <c r="J144" s="505">
        <f t="shared" si="35"/>
        <v>0</v>
      </c>
      <c r="K144" s="505"/>
      <c r="L144" s="513"/>
      <c r="M144" s="505">
        <f t="shared" si="36"/>
        <v>0</v>
      </c>
      <c r="N144" s="513"/>
      <c r="O144" s="505">
        <f t="shared" si="37"/>
        <v>0</v>
      </c>
      <c r="P144" s="505">
        <f t="shared" si="38"/>
        <v>0</v>
      </c>
      <c r="Q144" s="244"/>
      <c r="R144" s="244"/>
      <c r="S144" s="244"/>
      <c r="T144" s="244"/>
      <c r="U144" s="244"/>
    </row>
    <row r="145" spans="2:21" ht="12.5">
      <c r="B145" s="145" t="str">
        <f t="shared" si="31"/>
        <v/>
      </c>
      <c r="C145" s="496">
        <f>IF(D94="","-",+C144+1)</f>
        <v>2058</v>
      </c>
      <c r="D145" s="350">
        <f>IF(F144+SUM(E$100:E144)=D$93,F144,D$93-SUM(E$100:E144))</f>
        <v>0</v>
      </c>
      <c r="E145" s="510">
        <f>IF(+J97&lt;F144,J97,D145)</f>
        <v>0</v>
      </c>
      <c r="F145" s="511">
        <f t="shared" si="39"/>
        <v>0</v>
      </c>
      <c r="G145" s="511">
        <f t="shared" si="32"/>
        <v>0</v>
      </c>
      <c r="H145" s="524">
        <f t="shared" si="33"/>
        <v>0</v>
      </c>
      <c r="I145" s="573">
        <f t="shared" si="34"/>
        <v>0</v>
      </c>
      <c r="J145" s="505">
        <f t="shared" si="35"/>
        <v>0</v>
      </c>
      <c r="K145" s="505"/>
      <c r="L145" s="513"/>
      <c r="M145" s="505">
        <f t="shared" si="36"/>
        <v>0</v>
      </c>
      <c r="N145" s="513"/>
      <c r="O145" s="505">
        <f t="shared" si="37"/>
        <v>0</v>
      </c>
      <c r="P145" s="505">
        <f t="shared" si="38"/>
        <v>0</v>
      </c>
      <c r="Q145" s="244"/>
      <c r="R145" s="244"/>
      <c r="S145" s="244"/>
      <c r="T145" s="244"/>
      <c r="U145" s="244"/>
    </row>
    <row r="146" spans="2:21" ht="12.5">
      <c r="B146" s="145" t="str">
        <f t="shared" si="31"/>
        <v/>
      </c>
      <c r="C146" s="496">
        <f>IF(D94="","-",+C145+1)</f>
        <v>2059</v>
      </c>
      <c r="D146" s="350">
        <f>IF(F145+SUM(E$100:E145)=D$93,F145,D$93-SUM(E$100:E145))</f>
        <v>0</v>
      </c>
      <c r="E146" s="510">
        <f>IF(+J97&lt;F145,J97,D146)</f>
        <v>0</v>
      </c>
      <c r="F146" s="511">
        <f t="shared" si="39"/>
        <v>0</v>
      </c>
      <c r="G146" s="511">
        <f t="shared" si="32"/>
        <v>0</v>
      </c>
      <c r="H146" s="524">
        <f t="shared" si="33"/>
        <v>0</v>
      </c>
      <c r="I146" s="573">
        <f t="shared" si="34"/>
        <v>0</v>
      </c>
      <c r="J146" s="505">
        <f t="shared" si="35"/>
        <v>0</v>
      </c>
      <c r="K146" s="505"/>
      <c r="L146" s="513"/>
      <c r="M146" s="505">
        <f t="shared" si="36"/>
        <v>0</v>
      </c>
      <c r="N146" s="513"/>
      <c r="O146" s="505">
        <f t="shared" si="37"/>
        <v>0</v>
      </c>
      <c r="P146" s="505">
        <f t="shared" si="38"/>
        <v>0</v>
      </c>
      <c r="Q146" s="244"/>
      <c r="R146" s="244"/>
      <c r="S146" s="244"/>
      <c r="T146" s="244"/>
      <c r="U146" s="244"/>
    </row>
    <row r="147" spans="2:21" ht="12.5">
      <c r="B147" s="145" t="str">
        <f t="shared" si="31"/>
        <v/>
      </c>
      <c r="C147" s="496">
        <f>IF(D94="","-",+C146+1)</f>
        <v>2060</v>
      </c>
      <c r="D147" s="350">
        <f>IF(F146+SUM(E$100:E146)=D$93,F146,D$93-SUM(E$100:E146))</f>
        <v>0</v>
      </c>
      <c r="E147" s="510">
        <f>IF(+J97&lt;F146,J97,D147)</f>
        <v>0</v>
      </c>
      <c r="F147" s="511">
        <f t="shared" si="39"/>
        <v>0</v>
      </c>
      <c r="G147" s="511">
        <f t="shared" si="32"/>
        <v>0</v>
      </c>
      <c r="H147" s="524">
        <f t="shared" si="33"/>
        <v>0</v>
      </c>
      <c r="I147" s="573">
        <f t="shared" si="34"/>
        <v>0</v>
      </c>
      <c r="J147" s="505">
        <f t="shared" si="35"/>
        <v>0</v>
      </c>
      <c r="K147" s="505"/>
      <c r="L147" s="513"/>
      <c r="M147" s="505">
        <f t="shared" si="36"/>
        <v>0</v>
      </c>
      <c r="N147" s="513"/>
      <c r="O147" s="505">
        <f t="shared" si="37"/>
        <v>0</v>
      </c>
      <c r="P147" s="505">
        <f t="shared" si="38"/>
        <v>0</v>
      </c>
      <c r="Q147" s="244"/>
      <c r="R147" s="244"/>
      <c r="S147" s="244"/>
      <c r="T147" s="244"/>
      <c r="U147" s="244"/>
    </row>
    <row r="148" spans="2:21" ht="12.5">
      <c r="B148" s="145" t="str">
        <f t="shared" si="31"/>
        <v/>
      </c>
      <c r="C148" s="496">
        <f>IF(D94="","-",+C147+1)</f>
        <v>2061</v>
      </c>
      <c r="D148" s="350">
        <f>IF(F147+SUM(E$100:E147)=D$93,F147,D$93-SUM(E$100:E147))</f>
        <v>0</v>
      </c>
      <c r="E148" s="510">
        <f>IF(+J97&lt;F147,J97,D148)</f>
        <v>0</v>
      </c>
      <c r="F148" s="511">
        <f t="shared" si="39"/>
        <v>0</v>
      </c>
      <c r="G148" s="511">
        <f t="shared" si="32"/>
        <v>0</v>
      </c>
      <c r="H148" s="524">
        <f t="shared" si="33"/>
        <v>0</v>
      </c>
      <c r="I148" s="573">
        <f t="shared" si="34"/>
        <v>0</v>
      </c>
      <c r="J148" s="505">
        <f t="shared" si="35"/>
        <v>0</v>
      </c>
      <c r="K148" s="505"/>
      <c r="L148" s="513"/>
      <c r="M148" s="505">
        <f t="shared" si="36"/>
        <v>0</v>
      </c>
      <c r="N148" s="513"/>
      <c r="O148" s="505">
        <f t="shared" si="37"/>
        <v>0</v>
      </c>
      <c r="P148" s="505">
        <f t="shared" si="38"/>
        <v>0</v>
      </c>
      <c r="Q148" s="244"/>
      <c r="R148" s="244"/>
      <c r="S148" s="244"/>
      <c r="T148" s="244"/>
      <c r="U148" s="244"/>
    </row>
    <row r="149" spans="2:21" ht="12.5">
      <c r="B149" s="145" t="str">
        <f t="shared" si="31"/>
        <v/>
      </c>
      <c r="C149" s="496">
        <f>IF(D94="","-",+C148+1)</f>
        <v>2062</v>
      </c>
      <c r="D149" s="350">
        <f>IF(F148+SUM(E$100:E148)=D$93,F148,D$93-SUM(E$100:E148))</f>
        <v>0</v>
      </c>
      <c r="E149" s="510">
        <f>IF(+J97&lt;F148,J97,D149)</f>
        <v>0</v>
      </c>
      <c r="F149" s="511">
        <f t="shared" si="39"/>
        <v>0</v>
      </c>
      <c r="G149" s="511">
        <f t="shared" si="32"/>
        <v>0</v>
      </c>
      <c r="H149" s="524">
        <f t="shared" si="33"/>
        <v>0</v>
      </c>
      <c r="I149" s="573">
        <f t="shared" si="34"/>
        <v>0</v>
      </c>
      <c r="J149" s="505">
        <f t="shared" si="35"/>
        <v>0</v>
      </c>
      <c r="K149" s="505"/>
      <c r="L149" s="513"/>
      <c r="M149" s="505">
        <f t="shared" si="36"/>
        <v>0</v>
      </c>
      <c r="N149" s="513"/>
      <c r="O149" s="505">
        <f t="shared" si="37"/>
        <v>0</v>
      </c>
      <c r="P149" s="505">
        <f t="shared" si="38"/>
        <v>0</v>
      </c>
      <c r="Q149" s="244"/>
      <c r="R149" s="244"/>
      <c r="S149" s="244"/>
      <c r="T149" s="244"/>
      <c r="U149" s="244"/>
    </row>
    <row r="150" spans="2:21" ht="12.5">
      <c r="B150" s="145" t="str">
        <f t="shared" si="31"/>
        <v/>
      </c>
      <c r="C150" s="496">
        <f>IF(D94="","-",+C149+1)</f>
        <v>2063</v>
      </c>
      <c r="D150" s="350">
        <f>IF(F149+SUM(E$100:E149)=D$93,F149,D$93-SUM(E$100:E149))</f>
        <v>0</v>
      </c>
      <c r="E150" s="510">
        <f>IF(+J97&lt;F149,J97,D150)</f>
        <v>0</v>
      </c>
      <c r="F150" s="511">
        <f t="shared" si="39"/>
        <v>0</v>
      </c>
      <c r="G150" s="511">
        <f t="shared" si="32"/>
        <v>0</v>
      </c>
      <c r="H150" s="524">
        <f t="shared" si="33"/>
        <v>0</v>
      </c>
      <c r="I150" s="573">
        <f t="shared" si="34"/>
        <v>0</v>
      </c>
      <c r="J150" s="505">
        <f t="shared" si="35"/>
        <v>0</v>
      </c>
      <c r="K150" s="505"/>
      <c r="L150" s="513"/>
      <c r="M150" s="505">
        <f t="shared" si="36"/>
        <v>0</v>
      </c>
      <c r="N150" s="513"/>
      <c r="O150" s="505">
        <f t="shared" si="37"/>
        <v>0</v>
      </c>
      <c r="P150" s="505">
        <f t="shared" si="38"/>
        <v>0</v>
      </c>
      <c r="Q150" s="244"/>
      <c r="R150" s="244"/>
      <c r="S150" s="244"/>
      <c r="T150" s="244"/>
      <c r="U150" s="244"/>
    </row>
    <row r="151" spans="2:21" ht="12.5">
      <c r="B151" s="145" t="str">
        <f t="shared" si="31"/>
        <v/>
      </c>
      <c r="C151" s="496">
        <f>IF(D94="","-",+C150+1)</f>
        <v>2064</v>
      </c>
      <c r="D151" s="350">
        <f>IF(F150+SUM(E$100:E150)=D$93,F150,D$93-SUM(E$100:E150))</f>
        <v>0</v>
      </c>
      <c r="E151" s="510">
        <f>IF(+J97&lt;F150,J97,D151)</f>
        <v>0</v>
      </c>
      <c r="F151" s="511">
        <f t="shared" si="39"/>
        <v>0</v>
      </c>
      <c r="G151" s="511">
        <f t="shared" si="32"/>
        <v>0</v>
      </c>
      <c r="H151" s="524">
        <f t="shared" si="33"/>
        <v>0</v>
      </c>
      <c r="I151" s="573">
        <f t="shared" si="34"/>
        <v>0</v>
      </c>
      <c r="J151" s="505">
        <f t="shared" si="35"/>
        <v>0</v>
      </c>
      <c r="K151" s="505"/>
      <c r="L151" s="513"/>
      <c r="M151" s="505">
        <f t="shared" si="36"/>
        <v>0</v>
      </c>
      <c r="N151" s="513"/>
      <c r="O151" s="505">
        <f t="shared" si="37"/>
        <v>0</v>
      </c>
      <c r="P151" s="505">
        <f t="shared" si="38"/>
        <v>0</v>
      </c>
      <c r="Q151" s="244"/>
      <c r="R151" s="244"/>
      <c r="S151" s="244"/>
      <c r="T151" s="244"/>
      <c r="U151" s="244"/>
    </row>
    <row r="152" spans="2:21" ht="12.5">
      <c r="B152" s="145" t="str">
        <f t="shared" si="31"/>
        <v/>
      </c>
      <c r="C152" s="496">
        <f>IF(D94="","-",+C151+1)</f>
        <v>2065</v>
      </c>
      <c r="D152" s="350">
        <f>IF(F151+SUM(E$100:E151)=D$93,F151,D$93-SUM(E$100:E151))</f>
        <v>0</v>
      </c>
      <c r="E152" s="510">
        <f>IF(+J97&lt;F151,J97,D152)</f>
        <v>0</v>
      </c>
      <c r="F152" s="511">
        <f t="shared" si="39"/>
        <v>0</v>
      </c>
      <c r="G152" s="511">
        <f t="shared" si="32"/>
        <v>0</v>
      </c>
      <c r="H152" s="524">
        <f t="shared" si="33"/>
        <v>0</v>
      </c>
      <c r="I152" s="573">
        <f t="shared" si="34"/>
        <v>0</v>
      </c>
      <c r="J152" s="505">
        <f t="shared" si="35"/>
        <v>0</v>
      </c>
      <c r="K152" s="505"/>
      <c r="L152" s="513"/>
      <c r="M152" s="505">
        <f t="shared" si="36"/>
        <v>0</v>
      </c>
      <c r="N152" s="513"/>
      <c r="O152" s="505">
        <f t="shared" si="37"/>
        <v>0</v>
      </c>
      <c r="P152" s="505">
        <f t="shared" si="38"/>
        <v>0</v>
      </c>
      <c r="Q152" s="244"/>
      <c r="R152" s="244"/>
      <c r="S152" s="244"/>
      <c r="T152" s="244"/>
      <c r="U152" s="244"/>
    </row>
    <row r="153" spans="2:21" ht="12.5">
      <c r="B153" s="145" t="str">
        <f t="shared" si="31"/>
        <v/>
      </c>
      <c r="C153" s="496">
        <f>IF(D94="","-",+C152+1)</f>
        <v>2066</v>
      </c>
      <c r="D153" s="350">
        <f>IF(F152+SUM(E$100:E152)=D$93,F152,D$93-SUM(E$100:E152))</f>
        <v>0</v>
      </c>
      <c r="E153" s="510">
        <f>IF(+J97&lt;F152,J97,D153)</f>
        <v>0</v>
      </c>
      <c r="F153" s="511">
        <f t="shared" si="39"/>
        <v>0</v>
      </c>
      <c r="G153" s="511">
        <f t="shared" si="32"/>
        <v>0</v>
      </c>
      <c r="H153" s="524">
        <f t="shared" si="33"/>
        <v>0</v>
      </c>
      <c r="I153" s="573">
        <f t="shared" si="34"/>
        <v>0</v>
      </c>
      <c r="J153" s="505">
        <f t="shared" si="35"/>
        <v>0</v>
      </c>
      <c r="K153" s="505"/>
      <c r="L153" s="513"/>
      <c r="M153" s="505">
        <f t="shared" si="36"/>
        <v>0</v>
      </c>
      <c r="N153" s="513"/>
      <c r="O153" s="505">
        <f t="shared" si="37"/>
        <v>0</v>
      </c>
      <c r="P153" s="505">
        <f t="shared" si="38"/>
        <v>0</v>
      </c>
      <c r="Q153" s="244"/>
      <c r="R153" s="244"/>
      <c r="S153" s="244"/>
      <c r="T153" s="244"/>
      <c r="U153" s="244"/>
    </row>
    <row r="154" spans="2:21" ht="12.5">
      <c r="B154" s="145" t="str">
        <f t="shared" si="31"/>
        <v/>
      </c>
      <c r="C154" s="496">
        <f>IF(D94="","-",+C153+1)</f>
        <v>2067</v>
      </c>
      <c r="D154" s="350">
        <f>IF(F153+SUM(E$100:E153)=D$93,F153,D$93-SUM(E$100:E153))</f>
        <v>0</v>
      </c>
      <c r="E154" s="510">
        <f>IF(+J97&lt;F153,J97,D154)</f>
        <v>0</v>
      </c>
      <c r="F154" s="511">
        <f t="shared" si="39"/>
        <v>0</v>
      </c>
      <c r="G154" s="511">
        <f t="shared" si="32"/>
        <v>0</v>
      </c>
      <c r="H154" s="524">
        <f t="shared" si="33"/>
        <v>0</v>
      </c>
      <c r="I154" s="573">
        <f t="shared" si="34"/>
        <v>0</v>
      </c>
      <c r="J154" s="505">
        <f t="shared" si="35"/>
        <v>0</v>
      </c>
      <c r="K154" s="505"/>
      <c r="L154" s="513"/>
      <c r="M154" s="505">
        <f t="shared" si="36"/>
        <v>0</v>
      </c>
      <c r="N154" s="513"/>
      <c r="O154" s="505">
        <f t="shared" si="37"/>
        <v>0</v>
      </c>
      <c r="P154" s="505">
        <f t="shared" si="38"/>
        <v>0</v>
      </c>
      <c r="Q154" s="244"/>
      <c r="R154" s="244"/>
      <c r="S154" s="244"/>
      <c r="T154" s="244"/>
      <c r="U154" s="244"/>
    </row>
    <row r="155" spans="2:21" ht="13" thickBot="1">
      <c r="B155" s="145" t="str">
        <f t="shared" si="31"/>
        <v/>
      </c>
      <c r="C155" s="525">
        <f>IF(D94="","-",+C154+1)</f>
        <v>2068</v>
      </c>
      <c r="D155" s="528">
        <f>IF(F154+SUM(E$100:E154)=D$93,F154,D$93-SUM(E$100:E154))</f>
        <v>0</v>
      </c>
      <c r="E155" s="527">
        <f>IF(+J97&lt;F154,J97,D155)</f>
        <v>0</v>
      </c>
      <c r="F155" s="528">
        <f t="shared" si="39"/>
        <v>0</v>
      </c>
      <c r="G155" s="528">
        <f t="shared" si="32"/>
        <v>0</v>
      </c>
      <c r="H155" s="529">
        <f t="shared" si="33"/>
        <v>0</v>
      </c>
      <c r="I155" s="574">
        <f t="shared" si="34"/>
        <v>0</v>
      </c>
      <c r="J155" s="532">
        <f t="shared" si="35"/>
        <v>0</v>
      </c>
      <c r="K155" s="505"/>
      <c r="L155" s="531"/>
      <c r="M155" s="532">
        <f t="shared" si="36"/>
        <v>0</v>
      </c>
      <c r="N155" s="531"/>
      <c r="O155" s="532">
        <f t="shared" si="37"/>
        <v>0</v>
      </c>
      <c r="P155" s="532">
        <f t="shared" si="38"/>
        <v>0</v>
      </c>
      <c r="Q155" s="244"/>
      <c r="R155" s="244"/>
      <c r="S155" s="244"/>
      <c r="T155" s="244"/>
      <c r="U155" s="244"/>
    </row>
    <row r="156" spans="2:21" ht="12.5">
      <c r="C156" s="350" t="s">
        <v>75</v>
      </c>
      <c r="D156" s="295"/>
      <c r="E156" s="295">
        <f>SUM(E100:E155)</f>
        <v>28914235.740000002</v>
      </c>
      <c r="F156" s="295"/>
      <c r="G156" s="295"/>
      <c r="H156" s="295">
        <f>SUM(H100:H155)</f>
        <v>85150454.497108206</v>
      </c>
      <c r="I156" s="295">
        <f>SUM(I100:I155)</f>
        <v>85150454.497108206</v>
      </c>
      <c r="J156" s="295">
        <f>SUM(J100:J155)</f>
        <v>0</v>
      </c>
      <c r="K156" s="295"/>
      <c r="L156" s="295"/>
      <c r="M156" s="295"/>
      <c r="N156" s="295"/>
      <c r="O156" s="295"/>
      <c r="P156" s="244"/>
      <c r="Q156" s="244"/>
      <c r="R156" s="244"/>
      <c r="S156" s="244"/>
      <c r="T156" s="244"/>
      <c r="U156" s="244"/>
    </row>
    <row r="157" spans="2:21" ht="12.5">
      <c r="D157" s="293"/>
      <c r="E157" s="244"/>
      <c r="F157" s="244"/>
      <c r="G157" s="244"/>
      <c r="H157" s="244"/>
      <c r="I157" s="326"/>
      <c r="J157" s="326"/>
      <c r="K157" s="295"/>
      <c r="L157" s="326"/>
      <c r="M157" s="326"/>
      <c r="N157" s="326"/>
      <c r="O157" s="326"/>
      <c r="P157" s="244"/>
      <c r="Q157" s="244"/>
      <c r="R157" s="244"/>
      <c r="S157" s="244"/>
      <c r="T157" s="244"/>
      <c r="U157" s="244"/>
    </row>
    <row r="158" spans="2:21" ht="12.5">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ht="12.5">
      <c r="D159" s="293"/>
      <c r="E159" s="244"/>
      <c r="F159" s="244"/>
      <c r="G159" s="244"/>
      <c r="H159" s="244"/>
      <c r="I159" s="326"/>
      <c r="J159" s="326"/>
      <c r="K159" s="295"/>
      <c r="L159" s="326"/>
      <c r="M159" s="326"/>
      <c r="N159" s="326"/>
      <c r="O159" s="326"/>
      <c r="P159" s="244"/>
      <c r="Q159" s="244"/>
      <c r="R159" s="244"/>
      <c r="S159" s="244"/>
      <c r="T159" s="244"/>
      <c r="U159" s="244"/>
    </row>
    <row r="160" spans="2:21" ht="13">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ht="13">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phoneticPr fontId="0" type="noConversion"/>
  <conditionalFormatting sqref="C17:C73">
    <cfRule type="cellIs" dxfId="37" priority="1" stopIfTrue="1" operator="equal">
      <formula>$I$10</formula>
    </cfRule>
  </conditionalFormatting>
  <conditionalFormatting sqref="C100:C155">
    <cfRule type="cellIs" dxfId="36"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A3BDA5F9-8FD5-44CF-B7A7-A2567127D3C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OKT.Sch.11.Rates</vt:lpstr>
      <vt:lpstr>OKT.WS.F.BPU.ATRR.Projected</vt:lpstr>
      <vt:lpstr>OKT.WS.G.BPU.ATRR.True-up</vt:lpstr>
      <vt:lpstr>OKT.001</vt:lpstr>
      <vt:lpstr>OKT.002</vt:lpstr>
      <vt:lpstr>OKT.003</vt:lpstr>
      <vt:lpstr>OKT.004</vt:lpstr>
      <vt:lpstr>OKT.005</vt:lpstr>
      <vt:lpstr>OKT.006</vt:lpstr>
      <vt:lpstr>OKT.007</vt:lpstr>
      <vt:lpstr>OKT.008</vt:lpstr>
      <vt:lpstr>OKT.009</vt:lpstr>
      <vt:lpstr>OKT.010</vt:lpstr>
      <vt:lpstr>OKT.011</vt:lpstr>
      <vt:lpstr>OKT.012</vt:lpstr>
      <vt:lpstr>OKT.013</vt:lpstr>
      <vt:lpstr>OKT.014</vt:lpstr>
      <vt:lpstr>OKT.015</vt:lpstr>
      <vt:lpstr>OKT.016</vt:lpstr>
      <vt:lpstr>OKT.017</vt:lpstr>
      <vt:lpstr>OKT.018</vt:lpstr>
      <vt:lpstr>OKT.019</vt:lpstr>
      <vt:lpstr>OKT.xyz - blank</vt:lpstr>
      <vt:lpstr>OKT.001!Print_Area</vt:lpstr>
      <vt:lpstr>OKT.002!Print_Area</vt:lpstr>
      <vt:lpstr>OKT.003!Print_Area</vt:lpstr>
      <vt:lpstr>OKT.004!Print_Area</vt:lpstr>
      <vt:lpstr>OKT.005!Print_Area</vt:lpstr>
      <vt:lpstr>OKT.006!Print_Area</vt:lpstr>
      <vt:lpstr>OKT.007!Print_Area</vt:lpstr>
      <vt:lpstr>OKT.008!Print_Area</vt:lpstr>
      <vt:lpstr>OKT.009!Print_Area</vt:lpstr>
      <vt:lpstr>OKT.010!Print_Area</vt:lpstr>
      <vt:lpstr>OKT.011!Print_Area</vt:lpstr>
      <vt:lpstr>OKT.012!Print_Area</vt:lpstr>
      <vt:lpstr>OKT.013!Print_Area</vt:lpstr>
      <vt:lpstr>OKT.014!Print_Area</vt:lpstr>
      <vt:lpstr>OKT.015!Print_Area</vt:lpstr>
      <vt:lpstr>OKT.016!Print_Area</vt:lpstr>
      <vt:lpstr>OKT.017!Print_Area</vt:lpstr>
      <vt:lpstr>OKT.Sch.11.Rates!Print_Area</vt:lpstr>
      <vt:lpstr>OKT.WS.F.BPU.ATRR.Projected!Print_Area</vt:lpstr>
      <vt:lpstr>'OKT.WS.G.BPU.ATRR.True-up'!Print_Area</vt:lpstr>
      <vt:lpstr>'OKT.xyz - blank'!Print_Area</vt:lpstr>
      <vt:lpstr>OKT.WS.F.BPU.ATRR.Projected!Print_Titles</vt:lpstr>
      <vt:lpstr>'OKT.WS.G.BPU.ATRR.True-up'!Print_Titles</vt:lpstr>
    </vt:vector>
  </TitlesOfParts>
  <Company>AEP-IT-CPS 4/30/3-(8-835-3050)</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R.Pennybaker</dc:creator>
  <cp:keywords/>
  <cp:lastModifiedBy>s177040</cp:lastModifiedBy>
  <cp:lastPrinted>2019-04-10T12:36:50Z</cp:lastPrinted>
  <dcterms:created xsi:type="dcterms:W3CDTF">2009-05-11T14:02:48Z</dcterms:created>
  <dcterms:modified xsi:type="dcterms:W3CDTF">2020-07-01T18:55:35Z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d54ab196-475d-4be3-8542-e90186861649</vt:lpwstr>
  </property>
  <property fmtid="{D5CDD505-2E9C-101B-9397-08002B2CF9AE}" pid="3" name="bjSaver">
    <vt:lpwstr>clRxCTTKA7z930TtRLwKph96GxWYXtbn</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